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ANO 2026\MDEO 2025\"/>
    </mc:Choice>
  </mc:AlternateContent>
  <bookViews>
    <workbookView xWindow="0" yWindow="0" windowWidth="28800" windowHeight="12435"/>
  </bookViews>
  <sheets>
    <sheet name=" MDEO ANUAL 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1" i="1" l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5" i="1"/>
  <c r="N54" i="1"/>
  <c r="N53" i="1"/>
  <c r="N49" i="1"/>
  <c r="N48" i="1"/>
  <c r="Q46" i="1"/>
  <c r="P46" i="1"/>
  <c r="O46" i="1"/>
  <c r="N45" i="1"/>
  <c r="N44" i="1"/>
  <c r="N43" i="1"/>
  <c r="N42" i="1"/>
  <c r="N41" i="1"/>
  <c r="N40" i="1"/>
  <c r="M35" i="1"/>
  <c r="N34" i="1"/>
  <c r="W33" i="1"/>
  <c r="V33" i="1"/>
  <c r="U33" i="1"/>
  <c r="N33" i="1"/>
  <c r="W32" i="1"/>
  <c r="W52" i="1" s="1"/>
  <c r="V32" i="1"/>
  <c r="V52" i="1" s="1"/>
  <c r="U32" i="1"/>
  <c r="U52" i="1" s="1"/>
  <c r="W31" i="1"/>
  <c r="W51" i="1" s="1"/>
  <c r="V31" i="1"/>
  <c r="V51" i="1" s="1"/>
  <c r="U31" i="1"/>
  <c r="U51" i="1" s="1"/>
  <c r="W30" i="1"/>
  <c r="W50" i="1" s="1"/>
  <c r="V30" i="1"/>
  <c r="U30" i="1"/>
  <c r="K30" i="1" s="1"/>
  <c r="T29" i="1"/>
  <c r="S29" i="1"/>
  <c r="R29" i="1"/>
  <c r="N29" i="1"/>
  <c r="T28" i="1"/>
  <c r="T57" i="1" s="1"/>
  <c r="S28" i="1"/>
  <c r="S57" i="1" s="1"/>
  <c r="R28" i="1"/>
  <c r="R57" i="1" s="1"/>
  <c r="T27" i="1"/>
  <c r="T56" i="1" s="1"/>
  <c r="S27" i="1"/>
  <c r="S56" i="1" s="1"/>
  <c r="R27" i="1"/>
  <c r="L27" i="1" s="1"/>
  <c r="N27" i="1" s="1"/>
  <c r="N26" i="1"/>
  <c r="Q25" i="1"/>
  <c r="P25" i="1"/>
  <c r="O25" i="1"/>
  <c r="N25" i="1"/>
  <c r="Q24" i="1"/>
  <c r="Q47" i="1" s="1"/>
  <c r="P24" i="1"/>
  <c r="P47" i="1" s="1"/>
  <c r="O24" i="1"/>
  <c r="K24" i="1" s="1"/>
  <c r="L23" i="1"/>
  <c r="N23" i="1" s="1"/>
  <c r="N22" i="1"/>
  <c r="N21" i="1"/>
  <c r="N20" i="1"/>
  <c r="W19" i="1"/>
  <c r="V19" i="1"/>
  <c r="V39" i="1" s="1"/>
  <c r="U19" i="1"/>
  <c r="U39" i="1" s="1"/>
  <c r="N18" i="1"/>
  <c r="N17" i="1"/>
  <c r="L16" i="1"/>
  <c r="K16" i="1"/>
  <c r="T15" i="1"/>
  <c r="T38" i="1" s="1"/>
  <c r="S15" i="1"/>
  <c r="S38" i="1" s="1"/>
  <c r="R15" i="1"/>
  <c r="R38" i="1" s="1"/>
  <c r="N14" i="1"/>
  <c r="N13" i="1"/>
  <c r="K12" i="1"/>
  <c r="N12" i="1" s="1"/>
  <c r="Q11" i="1"/>
  <c r="Q37" i="1" s="1"/>
  <c r="P11" i="1"/>
  <c r="O11" i="1"/>
  <c r="O35" i="1" s="1"/>
  <c r="L10" i="1"/>
  <c r="K10" i="1"/>
  <c r="N10" i="1" s="1"/>
  <c r="M72" i="1" l="1"/>
  <c r="O37" i="1"/>
  <c r="K37" i="1" s="1"/>
  <c r="K11" i="1" s="1"/>
  <c r="N11" i="1" s="1"/>
  <c r="L32" i="1"/>
  <c r="N32" i="1" s="1"/>
  <c r="W35" i="1"/>
  <c r="T35" i="1"/>
  <c r="K28" i="1"/>
  <c r="K57" i="1" s="1"/>
  <c r="N57" i="1" s="1"/>
  <c r="Q35" i="1"/>
  <c r="Q72" i="1" s="1"/>
  <c r="R56" i="1"/>
  <c r="P35" i="1"/>
  <c r="N16" i="1"/>
  <c r="V35" i="1"/>
  <c r="Q71" i="1"/>
  <c r="S71" i="1"/>
  <c r="N37" i="1"/>
  <c r="N24" i="1"/>
  <c r="K47" i="1"/>
  <c r="N47" i="1" s="1"/>
  <c r="R71" i="1"/>
  <c r="K38" i="1"/>
  <c r="K50" i="1"/>
  <c r="N50" i="1" s="1"/>
  <c r="N30" i="1"/>
  <c r="T71" i="1"/>
  <c r="K39" i="1"/>
  <c r="S35" i="1"/>
  <c r="P37" i="1"/>
  <c r="P71" i="1" s="1"/>
  <c r="U50" i="1"/>
  <c r="U71" i="1" s="1"/>
  <c r="L56" i="1"/>
  <c r="N56" i="1" s="1"/>
  <c r="R35" i="1"/>
  <c r="K31" i="1"/>
  <c r="O47" i="1"/>
  <c r="V50" i="1"/>
  <c r="V71" i="1" s="1"/>
  <c r="U35" i="1"/>
  <c r="W39" i="1"/>
  <c r="W71" i="1" s="1"/>
  <c r="N28" i="1"/>
  <c r="L46" i="1"/>
  <c r="S72" i="1" l="1"/>
  <c r="O71" i="1"/>
  <c r="O72" i="1" s="1"/>
  <c r="L35" i="1"/>
  <c r="R72" i="1"/>
  <c r="L52" i="1"/>
  <c r="N52" i="1" s="1"/>
  <c r="P72" i="1"/>
  <c r="T72" i="1"/>
  <c r="W72" i="1"/>
  <c r="V72" i="1"/>
  <c r="N38" i="1"/>
  <c r="K15" i="1"/>
  <c r="U72" i="1"/>
  <c r="K51" i="1"/>
  <c r="N51" i="1" s="1"/>
  <c r="N31" i="1"/>
  <c r="K19" i="1"/>
  <c r="N19" i="1" s="1"/>
  <c r="N39" i="1"/>
  <c r="N46" i="1"/>
  <c r="L71" i="1" l="1"/>
  <c r="L72" i="1" s="1"/>
  <c r="N71" i="1"/>
  <c r="K71" i="1"/>
  <c r="N15" i="1"/>
  <c r="N35" i="1" s="1"/>
  <c r="K35" i="1"/>
  <c r="K72" i="1" l="1"/>
  <c r="N72" i="1"/>
</calcChain>
</file>

<file path=xl/sharedStrings.xml><?xml version="1.0" encoding="utf-8"?>
<sst xmlns="http://schemas.openxmlformats.org/spreadsheetml/2006/main" count="614" uniqueCount="102">
  <si>
    <t>PODER JUDICIÁRIO</t>
  </si>
  <si>
    <t>ÓRGÃO: TRIBUNAL DE JUSTIÇA DE SERGIPE</t>
  </si>
  <si>
    <t>MAPA DEMONSTRATIVO DA EXECUÇÃO ORÇAMENTÁRIA POR GRAU DE JURISDIÇÃO EXERCÍCIO DE 2025</t>
  </si>
  <si>
    <t>(RESOLUÇÃO 195 CNJ, art. 9º)</t>
  </si>
  <si>
    <t>Classificação Orçamentária</t>
  </si>
  <si>
    <t>Dotação</t>
  </si>
  <si>
    <t>Execução</t>
  </si>
  <si>
    <t>Unidade Orçamentária</t>
  </si>
  <si>
    <t>Função e Subfunção (Código)</t>
  </si>
  <si>
    <t>Programa, Ação e Subtítulo (Código)</t>
  </si>
  <si>
    <t>Descrição</t>
  </si>
  <si>
    <t>Esfera</t>
  </si>
  <si>
    <t>Fonte</t>
  </si>
  <si>
    <t>GND</t>
  </si>
  <si>
    <t>Inicial - LOA</t>
  </si>
  <si>
    <t>Créditos
Adicionais</t>
  </si>
  <si>
    <t>Contingenciado</t>
  </si>
  <si>
    <t>Disponível</t>
  </si>
  <si>
    <t>Primeiro Grau</t>
  </si>
  <si>
    <t>Segundo Grau</t>
  </si>
  <si>
    <t>Primeiro e Segundo Graus (1)</t>
  </si>
  <si>
    <t>Código</t>
  </si>
  <si>
    <t>Programa</t>
  </si>
  <si>
    <t>Ação e Subtítulo</t>
  </si>
  <si>
    <t>A</t>
  </si>
  <si>
    <t>B</t>
  </si>
  <si>
    <t>C</t>
  </si>
  <si>
    <t>D=A+B-C</t>
  </si>
  <si>
    <t>Empenhado</t>
  </si>
  <si>
    <t>Liquidado</t>
  </si>
  <si>
    <t>Pago</t>
  </si>
  <si>
    <t>Dotações para Despesas Obrigatórias</t>
  </si>
  <si>
    <t>05.101</t>
  </si>
  <si>
    <t>Tribunal de Justiça</t>
  </si>
  <si>
    <t>02.061</t>
  </si>
  <si>
    <t>0006.0014</t>
  </si>
  <si>
    <t>Justiça</t>
  </si>
  <si>
    <t>Prestação Jurisdicional do 1º Grau</t>
  </si>
  <si>
    <t>1</t>
  </si>
  <si>
    <t>1500</t>
  </si>
  <si>
    <t xml:space="preserve">Recursos não Vinculados de Impostos </t>
  </si>
  <si>
    <t>3</t>
  </si>
  <si>
    <t>0006.0013</t>
  </si>
  <si>
    <t>Prestação Jurisdicional do 2º Grau</t>
  </si>
  <si>
    <t>2500</t>
  </si>
  <si>
    <t>Recursos não Vinculados de Impostos</t>
  </si>
  <si>
    <t>2501</t>
  </si>
  <si>
    <t>Outros Recursos não vinculados</t>
  </si>
  <si>
    <t>02.122</t>
  </si>
  <si>
    <t>0040.0141</t>
  </si>
  <si>
    <t>Gestão e Manutenção do TJ</t>
  </si>
  <si>
    <t>Manutenção dos Serviços Administrativos</t>
  </si>
  <si>
    <t>02.128</t>
  </si>
  <si>
    <t>0006.0015</t>
  </si>
  <si>
    <t>Escola Judicial do Estado de Sergipe – EJUSE</t>
  </si>
  <si>
    <t>0006.0017</t>
  </si>
  <si>
    <t>Implementação das Ações da Corregedoria Geral de Justiça</t>
  </si>
  <si>
    <t>02.272</t>
  </si>
  <si>
    <t>0042.0144</t>
  </si>
  <si>
    <t>Encargos de Natureza Especial</t>
  </si>
  <si>
    <t>Aporte para Cobertura de Déficit Previdenciário Financeiro do RPPS/SE</t>
  </si>
  <si>
    <t>05.401</t>
  </si>
  <si>
    <t>Fundo Especial de Recursos de Despesas</t>
  </si>
  <si>
    <t>0006.0004</t>
  </si>
  <si>
    <t xml:space="preserve">Recursos Vinculados a Fundos </t>
  </si>
  <si>
    <t>1760</t>
  </si>
  <si>
    <t xml:space="preserve">Recursos de Emolumentos, Taxas e Custas </t>
  </si>
  <si>
    <t>2760</t>
  </si>
  <si>
    <t xml:space="preserve">Recursos de Emolumentos e Taxas Judiciais </t>
  </si>
  <si>
    <t>0006.0006</t>
  </si>
  <si>
    <t>1759</t>
  </si>
  <si>
    <t>0040.0135</t>
  </si>
  <si>
    <t>Manutenção  dos Serviços Administrativos</t>
  </si>
  <si>
    <t>Recursos Vinculados a Fundos</t>
  </si>
  <si>
    <t>0006.0007</t>
  </si>
  <si>
    <t>Fundo de Apoio ao Registro Civil</t>
  </si>
  <si>
    <t>Total das Dotações para Despesas Obrigatórias</t>
  </si>
  <si>
    <t>Dotações para Despesas Discricionárias</t>
  </si>
  <si>
    <t>4</t>
  </si>
  <si>
    <t>0006.0010</t>
  </si>
  <si>
    <t>Construção de Unidades do Poder Judiciário</t>
  </si>
  <si>
    <t>0006.0005</t>
  </si>
  <si>
    <t>Ampliação de Unidades do Poder Judiciário</t>
  </si>
  <si>
    <t>0006.0011</t>
  </si>
  <si>
    <t>Reforma de Unidades do Poder Judiciário</t>
  </si>
  <si>
    <t>Recursos de Operações de Crédito</t>
  </si>
  <si>
    <t>0006.0012</t>
  </si>
  <si>
    <t>Aparelhamento das Unidades do Poder Judiciário</t>
  </si>
  <si>
    <t>2755</t>
  </si>
  <si>
    <t>Recursos de Alienação de Bens Ativos</t>
  </si>
  <si>
    <t>2759</t>
  </si>
  <si>
    <t>0006.0009</t>
  </si>
  <si>
    <t>02.126</t>
  </si>
  <si>
    <t>0006.0003</t>
  </si>
  <si>
    <t>Ampliação do Parque Computacional do Poder Judiciário</t>
  </si>
  <si>
    <t>0006.0008</t>
  </si>
  <si>
    <t>Manutenção da Tecnologia e Informação</t>
  </si>
  <si>
    <t>0006.0124</t>
  </si>
  <si>
    <t>Segurança da Informação e Cibernética do Poder Judiciário</t>
  </si>
  <si>
    <t>Total das Dotações para Despesas Discricionárias</t>
  </si>
  <si>
    <t>Total</t>
  </si>
  <si>
    <t>(1) O preenchimanto destas colunas é de caráter excepcional. Ocorre quando a dotação executada atender a ambos os graus de jurisdição sem possibilidade de detalhamento.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</si>
</sst>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</font>
    <font>
      <b/>
      <sz val="10"/>
      <name val="Calibri"/>
      <family val="2"/>
    </font>
    <font>
      <sz val="5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</font>
    <font>
      <b/>
      <sz val="11"/>
      <name val="Calibri"/>
      <family val="2"/>
    </font>
    <font>
      <b/>
      <sz val="10"/>
      <name val="Arial"/>
      <family val="2"/>
      <charset val="1"/>
    </font>
    <font>
      <b/>
      <sz val="8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scheme val="minor"/>
    </font>
    <font>
      <b/>
      <sz val="8"/>
      <name val="Arial"/>
      <family val="2"/>
      <charset val="1"/>
    </font>
    <font>
      <sz val="8"/>
      <name val="Arial MT"/>
      <family val="2"/>
      <charset val="1"/>
    </font>
    <font>
      <b/>
      <sz val="7"/>
      <name val="Calibri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4" fontId="4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3" fontId="0" fillId="0" borderId="0" xfId="0" applyNumberFormat="1"/>
    <xf numFmtId="4" fontId="4" fillId="0" borderId="1" xfId="0" applyNumberFormat="1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3" fontId="7" fillId="0" borderId="0" xfId="1" applyFont="1"/>
    <xf numFmtId="4" fontId="7" fillId="0" borderId="0" xfId="0" applyNumberFormat="1" applyFont="1"/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3" fontId="8" fillId="0" borderId="0" xfId="1" applyFont="1"/>
    <xf numFmtId="43" fontId="7" fillId="0" borderId="0" xfId="0" applyNumberFormat="1" applyFont="1"/>
    <xf numFmtId="4" fontId="12" fillId="2" borderId="1" xfId="0" applyNumberFormat="1" applyFont="1" applyFill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3" fontId="13" fillId="2" borderId="1" xfId="1" applyFont="1" applyFill="1" applyBorder="1" applyAlignment="1">
      <alignment horizontal="center" vertical="center" shrinkToFit="1"/>
    </xf>
    <xf numFmtId="43" fontId="13" fillId="2" borderId="1" xfId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right" vertical="center" wrapText="1"/>
    </xf>
    <xf numFmtId="4" fontId="14" fillId="2" borderId="1" xfId="0" applyNumberFormat="1" applyFont="1" applyFill="1" applyBorder="1" applyAlignment="1">
      <alignment vertical="center"/>
    </xf>
    <xf numFmtId="4" fontId="15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shrinkToFit="1"/>
    </xf>
    <xf numFmtId="164" fontId="13" fillId="2" borderId="1" xfId="0" applyNumberFormat="1" applyFont="1" applyFill="1" applyBorder="1" applyAlignment="1">
      <alignment horizontal="center" vertical="center" shrinkToFit="1"/>
    </xf>
    <xf numFmtId="1" fontId="13" fillId="2" borderId="1" xfId="0" applyNumberFormat="1" applyFont="1" applyFill="1" applyBorder="1" applyAlignment="1">
      <alignment horizontal="center" vertical="center" shrinkToFit="1"/>
    </xf>
    <xf numFmtId="4" fontId="14" fillId="2" borderId="1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shrinkToFit="1"/>
    </xf>
    <xf numFmtId="4" fontId="18" fillId="0" borderId="0" xfId="0" applyNumberFormat="1" applyFont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78"/>
  <sheetViews>
    <sheetView tabSelected="1" topLeftCell="B67" zoomScale="112" zoomScaleNormal="112" workbookViewId="0">
      <selection activeCell="R83" sqref="R83"/>
    </sheetView>
  </sheetViews>
  <sheetFormatPr defaultRowHeight="15"/>
  <cols>
    <col min="1" max="1" width="7.5703125" customWidth="1"/>
    <col min="3" max="3" width="8.5703125" customWidth="1"/>
    <col min="4" max="4" width="9.140625" customWidth="1"/>
    <col min="5" max="5" width="16.140625" customWidth="1"/>
    <col min="6" max="6" width="12.140625" customWidth="1"/>
    <col min="7" max="7" width="4.85546875" customWidth="1"/>
    <col min="8" max="8" width="7.7109375" customWidth="1"/>
    <col min="9" max="9" width="14.42578125" customWidth="1"/>
    <col min="10" max="10" width="4.42578125" customWidth="1"/>
    <col min="11" max="11" width="11" customWidth="1"/>
    <col min="12" max="12" width="11.140625" customWidth="1"/>
    <col min="13" max="13" width="11" customWidth="1"/>
    <col min="14" max="14" width="14.28515625" customWidth="1"/>
    <col min="15" max="15" width="12.28515625" customWidth="1"/>
    <col min="16" max="16" width="12.5703125" customWidth="1"/>
    <col min="17" max="17" width="11.85546875" customWidth="1"/>
    <col min="18" max="18" width="11" customWidth="1"/>
    <col min="19" max="19" width="11.140625" customWidth="1"/>
    <col min="20" max="20" width="12.140625" customWidth="1"/>
    <col min="21" max="21" width="11.140625" customWidth="1"/>
    <col min="22" max="22" width="12.140625" customWidth="1"/>
    <col min="23" max="23" width="11.5703125" customWidth="1"/>
    <col min="24" max="24" width="14.5703125" bestFit="1" customWidth="1"/>
  </cols>
  <sheetData>
    <row r="2" spans="1:24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4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4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spans="1:24">
      <c r="A5" s="37" t="s">
        <v>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6" spans="1:24">
      <c r="A6" s="38" t="s">
        <v>4</v>
      </c>
      <c r="B6" s="38"/>
      <c r="C6" s="38"/>
      <c r="D6" s="38"/>
      <c r="E6" s="38"/>
      <c r="F6" s="38"/>
      <c r="G6" s="38"/>
      <c r="H6" s="38"/>
      <c r="I6" s="38"/>
      <c r="J6" s="38"/>
      <c r="K6" s="39" t="s">
        <v>5</v>
      </c>
      <c r="L6" s="39"/>
      <c r="M6" s="39"/>
      <c r="N6" s="39"/>
      <c r="O6" s="39" t="s">
        <v>6</v>
      </c>
      <c r="P6" s="39"/>
      <c r="Q6" s="39"/>
      <c r="R6" s="39"/>
      <c r="S6" s="39"/>
      <c r="T6" s="39"/>
      <c r="U6" s="39"/>
      <c r="V6" s="39"/>
      <c r="W6" s="39"/>
    </row>
    <row r="7" spans="1:24" ht="26.25" customHeight="1">
      <c r="A7" s="49" t="s">
        <v>7</v>
      </c>
      <c r="B7" s="49"/>
      <c r="C7" s="49" t="s">
        <v>8</v>
      </c>
      <c r="D7" s="49" t="s">
        <v>9</v>
      </c>
      <c r="E7" s="48" t="s">
        <v>10</v>
      </c>
      <c r="F7" s="48"/>
      <c r="G7" s="48" t="s">
        <v>11</v>
      </c>
      <c r="H7" s="48" t="s">
        <v>12</v>
      </c>
      <c r="I7" s="48"/>
      <c r="J7" s="48" t="s">
        <v>13</v>
      </c>
      <c r="K7" s="17" t="s">
        <v>14</v>
      </c>
      <c r="L7" s="18" t="s">
        <v>15</v>
      </c>
      <c r="M7" s="17" t="s">
        <v>16</v>
      </c>
      <c r="N7" s="17" t="s">
        <v>17</v>
      </c>
      <c r="O7" s="39" t="s">
        <v>18</v>
      </c>
      <c r="P7" s="39"/>
      <c r="Q7" s="39"/>
      <c r="R7" s="39" t="s">
        <v>19</v>
      </c>
      <c r="S7" s="39"/>
      <c r="T7" s="39"/>
      <c r="U7" s="39" t="s">
        <v>20</v>
      </c>
      <c r="V7" s="39"/>
      <c r="W7" s="39"/>
    </row>
    <row r="8" spans="1:24" ht="24.75" customHeight="1">
      <c r="A8" s="16" t="s">
        <v>21</v>
      </c>
      <c r="B8" s="16" t="s">
        <v>10</v>
      </c>
      <c r="C8" s="49"/>
      <c r="D8" s="49"/>
      <c r="E8" s="17" t="s">
        <v>22</v>
      </c>
      <c r="F8" s="17" t="s">
        <v>23</v>
      </c>
      <c r="G8" s="48"/>
      <c r="H8" s="17" t="s">
        <v>21</v>
      </c>
      <c r="I8" s="17" t="s">
        <v>10</v>
      </c>
      <c r="J8" s="48"/>
      <c r="K8" s="17" t="s">
        <v>24</v>
      </c>
      <c r="L8" s="17" t="s">
        <v>25</v>
      </c>
      <c r="M8" s="17" t="s">
        <v>26</v>
      </c>
      <c r="N8" s="17" t="s">
        <v>27</v>
      </c>
      <c r="O8" s="17" t="s">
        <v>28</v>
      </c>
      <c r="P8" s="17" t="s">
        <v>29</v>
      </c>
      <c r="Q8" s="17" t="s">
        <v>30</v>
      </c>
      <c r="R8" s="17" t="s">
        <v>28</v>
      </c>
      <c r="S8" s="17" t="s">
        <v>29</v>
      </c>
      <c r="T8" s="17" t="s">
        <v>30</v>
      </c>
      <c r="U8" s="17" t="s">
        <v>28</v>
      </c>
      <c r="V8" s="17" t="s">
        <v>29</v>
      </c>
      <c r="W8" s="17" t="s">
        <v>30</v>
      </c>
    </row>
    <row r="9" spans="1:24">
      <c r="A9" s="39" t="s">
        <v>31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</row>
    <row r="10" spans="1:24" ht="39.75" customHeight="1">
      <c r="A10" s="33" t="s">
        <v>32</v>
      </c>
      <c r="B10" s="26" t="s">
        <v>33</v>
      </c>
      <c r="C10" s="33" t="s">
        <v>34</v>
      </c>
      <c r="D10" s="24" t="s">
        <v>35</v>
      </c>
      <c r="E10" s="25" t="s">
        <v>36</v>
      </c>
      <c r="F10" s="26" t="s">
        <v>37</v>
      </c>
      <c r="G10" s="27" t="s">
        <v>38</v>
      </c>
      <c r="H10" s="28" t="s">
        <v>39</v>
      </c>
      <c r="I10" s="26" t="s">
        <v>40</v>
      </c>
      <c r="J10" s="29" t="s">
        <v>38</v>
      </c>
      <c r="K10" s="19">
        <f>333469020+72020000</f>
        <v>405489020</v>
      </c>
      <c r="L10" s="20">
        <f>49010000+24700000</f>
        <v>73710000</v>
      </c>
      <c r="M10" s="21">
        <v>3150000</v>
      </c>
      <c r="N10" s="19">
        <f>(K10+L10)-M10</f>
        <v>476049020</v>
      </c>
      <c r="O10" s="22">
        <v>475689255.80000001</v>
      </c>
      <c r="P10" s="22">
        <v>475689255.80000001</v>
      </c>
      <c r="Q10" s="22">
        <v>475442682.00999999</v>
      </c>
      <c r="R10" s="23"/>
      <c r="S10" s="23"/>
      <c r="T10" s="23"/>
      <c r="U10" s="23"/>
      <c r="V10" s="23"/>
      <c r="W10" s="23"/>
    </row>
    <row r="11" spans="1:24" ht="39.75" customHeight="1">
      <c r="A11" s="33" t="s">
        <v>32</v>
      </c>
      <c r="B11" s="31" t="s">
        <v>33</v>
      </c>
      <c r="C11" s="30" t="s">
        <v>34</v>
      </c>
      <c r="D11" s="30" t="s">
        <v>35</v>
      </c>
      <c r="E11" s="30" t="s">
        <v>36</v>
      </c>
      <c r="F11" s="31" t="s">
        <v>37</v>
      </c>
      <c r="G11" s="30" t="s">
        <v>38</v>
      </c>
      <c r="H11" s="30" t="s">
        <v>39</v>
      </c>
      <c r="I11" s="31" t="s">
        <v>40</v>
      </c>
      <c r="J11" s="30" t="s">
        <v>41</v>
      </c>
      <c r="K11" s="22">
        <f>65386488-K37</f>
        <v>61913205.619999997</v>
      </c>
      <c r="L11" s="22">
        <v>10000000</v>
      </c>
      <c r="M11" s="22">
        <v>29860000</v>
      </c>
      <c r="N11" s="22">
        <f>K11+L11-M11</f>
        <v>42053205.620000005</v>
      </c>
      <c r="O11" s="22">
        <f>80552.38+7557453.39+726627+2768412.91+30166464.59</f>
        <v>41299510.269999996</v>
      </c>
      <c r="P11" s="22">
        <f t="shared" ref="P11:Q11" si="0">80552.38+7557453.39+726627+2768412.91+30166464.59</f>
        <v>41299510.269999996</v>
      </c>
      <c r="Q11" s="22">
        <f t="shared" si="0"/>
        <v>41299510.269999996</v>
      </c>
      <c r="R11" s="22"/>
      <c r="S11" s="22"/>
      <c r="T11" s="22"/>
      <c r="U11" s="22"/>
      <c r="V11" s="22"/>
      <c r="W11" s="22"/>
      <c r="X11" s="3"/>
    </row>
    <row r="12" spans="1:24" ht="41.25" customHeight="1">
      <c r="A12" s="33" t="s">
        <v>32</v>
      </c>
      <c r="B12" s="31" t="s">
        <v>33</v>
      </c>
      <c r="C12" s="30" t="s">
        <v>34</v>
      </c>
      <c r="D12" s="30" t="s">
        <v>42</v>
      </c>
      <c r="E12" s="30" t="s">
        <v>36</v>
      </c>
      <c r="F12" s="31" t="s">
        <v>43</v>
      </c>
      <c r="G12" s="30" t="s">
        <v>38</v>
      </c>
      <c r="H12" s="30" t="s">
        <v>39</v>
      </c>
      <c r="I12" s="31" t="s">
        <v>40</v>
      </c>
      <c r="J12" s="30" t="s">
        <v>38</v>
      </c>
      <c r="K12" s="22">
        <f>69094780+12857000</f>
        <v>81951780</v>
      </c>
      <c r="L12" s="22">
        <v>12310000</v>
      </c>
      <c r="M12" s="22">
        <v>100000</v>
      </c>
      <c r="N12" s="22">
        <f>K12+L12-M12</f>
        <v>94161780</v>
      </c>
      <c r="O12" s="22"/>
      <c r="P12" s="22"/>
      <c r="Q12" s="22"/>
      <c r="R12" s="22">
        <v>93941810.829999998</v>
      </c>
      <c r="S12" s="22">
        <v>93941810.829999998</v>
      </c>
      <c r="T12" s="22">
        <v>93892473.150000006</v>
      </c>
      <c r="U12" s="22"/>
      <c r="V12" s="22"/>
      <c r="W12" s="22"/>
    </row>
    <row r="13" spans="1:24" ht="39.75" customHeight="1">
      <c r="A13" s="33" t="s">
        <v>32</v>
      </c>
      <c r="B13" s="31" t="s">
        <v>33</v>
      </c>
      <c r="C13" s="32" t="s">
        <v>34</v>
      </c>
      <c r="D13" s="32" t="s">
        <v>42</v>
      </c>
      <c r="E13" s="30" t="s">
        <v>36</v>
      </c>
      <c r="F13" s="31" t="s">
        <v>43</v>
      </c>
      <c r="G13" s="32">
        <v>1</v>
      </c>
      <c r="H13" s="32" t="s">
        <v>44</v>
      </c>
      <c r="I13" s="31" t="s">
        <v>45</v>
      </c>
      <c r="J13" s="32" t="s">
        <v>38</v>
      </c>
      <c r="K13" s="22">
        <v>0</v>
      </c>
      <c r="L13" s="22">
        <v>2638505</v>
      </c>
      <c r="M13" s="22">
        <v>0</v>
      </c>
      <c r="N13" s="22">
        <f>K13+L13-M13</f>
        <v>2638505</v>
      </c>
      <c r="O13" s="22"/>
      <c r="P13" s="22"/>
      <c r="Q13" s="22"/>
      <c r="R13" s="22">
        <v>2626547.0499999998</v>
      </c>
      <c r="S13" s="22">
        <v>2626547.0499999998</v>
      </c>
      <c r="T13" s="22">
        <v>2626547.0499999998</v>
      </c>
      <c r="U13" s="22"/>
      <c r="V13" s="22"/>
      <c r="W13" s="22"/>
    </row>
    <row r="14" spans="1:24" ht="41.25" customHeight="1">
      <c r="A14" s="33" t="s">
        <v>32</v>
      </c>
      <c r="B14" s="31" t="s">
        <v>33</v>
      </c>
      <c r="C14" s="32" t="s">
        <v>34</v>
      </c>
      <c r="D14" s="32" t="s">
        <v>42</v>
      </c>
      <c r="E14" s="30" t="s">
        <v>36</v>
      </c>
      <c r="F14" s="31" t="s">
        <v>43</v>
      </c>
      <c r="G14" s="32" t="s">
        <v>38</v>
      </c>
      <c r="H14" s="32" t="s">
        <v>46</v>
      </c>
      <c r="I14" s="31" t="s">
        <v>47</v>
      </c>
      <c r="J14" s="32" t="s">
        <v>38</v>
      </c>
      <c r="K14" s="22">
        <v>0</v>
      </c>
      <c r="L14" s="22">
        <v>302599</v>
      </c>
      <c r="M14" s="22">
        <v>0</v>
      </c>
      <c r="N14" s="22">
        <f>K14+L14-M14</f>
        <v>302599</v>
      </c>
      <c r="O14" s="22"/>
      <c r="P14" s="22"/>
      <c r="Q14" s="22"/>
      <c r="R14" s="22">
        <v>296004.76</v>
      </c>
      <c r="S14" s="22">
        <v>296004.76</v>
      </c>
      <c r="T14" s="22">
        <v>296004.76</v>
      </c>
      <c r="U14" s="22"/>
      <c r="V14" s="22"/>
      <c r="W14" s="22"/>
    </row>
    <row r="15" spans="1:24" ht="43.5" customHeight="1">
      <c r="A15" s="33" t="s">
        <v>32</v>
      </c>
      <c r="B15" s="31" t="s">
        <v>33</v>
      </c>
      <c r="C15" s="30" t="s">
        <v>34</v>
      </c>
      <c r="D15" s="30" t="s">
        <v>42</v>
      </c>
      <c r="E15" s="30" t="s">
        <v>36</v>
      </c>
      <c r="F15" s="31" t="s">
        <v>43</v>
      </c>
      <c r="G15" s="30" t="s">
        <v>38</v>
      </c>
      <c r="H15" s="30" t="s">
        <v>39</v>
      </c>
      <c r="I15" s="31" t="s">
        <v>40</v>
      </c>
      <c r="J15" s="30" t="s">
        <v>41</v>
      </c>
      <c r="K15" s="22">
        <f>9402000-K38</f>
        <v>8977907.8599999994</v>
      </c>
      <c r="L15" s="22">
        <v>700000</v>
      </c>
      <c r="M15" s="22">
        <v>2970000</v>
      </c>
      <c r="N15" s="22">
        <f t="shared" ref="N15:N21" si="1">K15+L15-M15</f>
        <v>6707907.8599999994</v>
      </c>
      <c r="O15" s="22"/>
      <c r="P15" s="22"/>
      <c r="Q15" s="22"/>
      <c r="R15" s="22">
        <f>1972388.27+58860+61777.15+4585812.81</f>
        <v>6678838.2299999995</v>
      </c>
      <c r="S15" s="22">
        <f t="shared" ref="S15:T15" si="2">1972388.27+58860+61777.15+4585812.81</f>
        <v>6678838.2299999995</v>
      </c>
      <c r="T15" s="22">
        <f t="shared" si="2"/>
        <v>6678838.2299999995</v>
      </c>
      <c r="U15" s="22"/>
      <c r="V15" s="22"/>
      <c r="W15" s="22"/>
      <c r="X15" s="3"/>
    </row>
    <row r="16" spans="1:24" ht="44.25" customHeight="1">
      <c r="A16" s="30" t="s">
        <v>32</v>
      </c>
      <c r="B16" s="31" t="s">
        <v>33</v>
      </c>
      <c r="C16" s="30" t="s">
        <v>48</v>
      </c>
      <c r="D16" s="30" t="s">
        <v>49</v>
      </c>
      <c r="E16" s="31" t="s">
        <v>50</v>
      </c>
      <c r="F16" s="31" t="s">
        <v>51</v>
      </c>
      <c r="G16" s="30" t="s">
        <v>38</v>
      </c>
      <c r="H16" s="30" t="s">
        <v>39</v>
      </c>
      <c r="I16" s="31" t="s">
        <v>40</v>
      </c>
      <c r="J16" s="30" t="s">
        <v>38</v>
      </c>
      <c r="K16" s="22">
        <f>136126000+26780000</f>
        <v>162906000</v>
      </c>
      <c r="L16" s="22">
        <f>20500000+1950000</f>
        <v>22450000</v>
      </c>
      <c r="M16" s="22">
        <v>3070000</v>
      </c>
      <c r="N16" s="22">
        <f t="shared" si="1"/>
        <v>182286000</v>
      </c>
      <c r="O16" s="22"/>
      <c r="P16" s="22"/>
      <c r="Q16" s="22"/>
      <c r="R16" s="22"/>
      <c r="S16" s="22"/>
      <c r="T16" s="22"/>
      <c r="U16" s="22">
        <v>182233616.75999999</v>
      </c>
      <c r="V16" s="22">
        <v>182233616.75999999</v>
      </c>
      <c r="W16" s="22">
        <v>182048583.69999999</v>
      </c>
    </row>
    <row r="17" spans="1:24" ht="38.25" customHeight="1">
      <c r="A17" s="32" t="s">
        <v>32</v>
      </c>
      <c r="B17" s="31" t="s">
        <v>33</v>
      </c>
      <c r="C17" s="32" t="s">
        <v>48</v>
      </c>
      <c r="D17" s="32" t="s">
        <v>49</v>
      </c>
      <c r="E17" s="31" t="s">
        <v>50</v>
      </c>
      <c r="F17" s="31" t="s">
        <v>51</v>
      </c>
      <c r="G17" s="32">
        <v>1</v>
      </c>
      <c r="H17" s="32">
        <v>2500</v>
      </c>
      <c r="I17" s="31" t="s">
        <v>40</v>
      </c>
      <c r="J17" s="32">
        <v>1</v>
      </c>
      <c r="K17" s="22">
        <v>0</v>
      </c>
      <c r="L17" s="22">
        <v>2638505</v>
      </c>
      <c r="M17" s="22">
        <v>2638505</v>
      </c>
      <c r="N17" s="22">
        <f t="shared" si="1"/>
        <v>0</v>
      </c>
      <c r="O17" s="22"/>
      <c r="P17" s="22"/>
      <c r="Q17" s="22"/>
      <c r="R17" s="22"/>
      <c r="S17" s="22"/>
      <c r="T17" s="22"/>
      <c r="U17" s="22">
        <v>0</v>
      </c>
      <c r="V17" s="22">
        <v>0</v>
      </c>
      <c r="W17" s="22">
        <v>0</v>
      </c>
    </row>
    <row r="18" spans="1:24" ht="39.75" customHeight="1">
      <c r="A18" s="32" t="s">
        <v>32</v>
      </c>
      <c r="B18" s="31" t="s">
        <v>33</v>
      </c>
      <c r="C18" s="32" t="s">
        <v>48</v>
      </c>
      <c r="D18" s="32" t="s">
        <v>49</v>
      </c>
      <c r="E18" s="31" t="s">
        <v>50</v>
      </c>
      <c r="F18" s="31" t="s">
        <v>51</v>
      </c>
      <c r="G18" s="32">
        <v>1</v>
      </c>
      <c r="H18" s="32" t="s">
        <v>46</v>
      </c>
      <c r="I18" s="31" t="s">
        <v>47</v>
      </c>
      <c r="J18" s="32" t="s">
        <v>38</v>
      </c>
      <c r="K18" s="22">
        <v>0</v>
      </c>
      <c r="L18" s="22">
        <v>302599</v>
      </c>
      <c r="M18" s="22">
        <v>302599</v>
      </c>
      <c r="N18" s="22">
        <f t="shared" si="1"/>
        <v>0</v>
      </c>
      <c r="O18" s="22"/>
      <c r="P18" s="22"/>
      <c r="Q18" s="22"/>
      <c r="R18" s="22"/>
      <c r="S18" s="22"/>
      <c r="T18" s="22"/>
      <c r="U18" s="22">
        <v>0</v>
      </c>
      <c r="V18" s="22">
        <v>0</v>
      </c>
      <c r="W18" s="22">
        <v>0</v>
      </c>
    </row>
    <row r="19" spans="1:24" ht="42" customHeight="1">
      <c r="A19" s="30" t="s">
        <v>32</v>
      </c>
      <c r="B19" s="31" t="s">
        <v>33</v>
      </c>
      <c r="C19" s="30" t="s">
        <v>48</v>
      </c>
      <c r="D19" s="30" t="s">
        <v>49</v>
      </c>
      <c r="E19" s="31" t="s">
        <v>50</v>
      </c>
      <c r="F19" s="31" t="s">
        <v>51</v>
      </c>
      <c r="G19" s="30" t="s">
        <v>38</v>
      </c>
      <c r="H19" s="30" t="s">
        <v>39</v>
      </c>
      <c r="I19" s="31" t="s">
        <v>40</v>
      </c>
      <c r="J19" s="30" t="s">
        <v>41</v>
      </c>
      <c r="K19" s="22">
        <f>22367992-K39</f>
        <v>21526066.870000001</v>
      </c>
      <c r="L19" s="22">
        <v>1500000</v>
      </c>
      <c r="M19" s="22">
        <v>10550000</v>
      </c>
      <c r="N19" s="22">
        <f t="shared" si="1"/>
        <v>12476066.870000001</v>
      </c>
      <c r="O19" s="22"/>
      <c r="P19" s="22"/>
      <c r="Q19" s="22"/>
      <c r="R19" s="22"/>
      <c r="S19" s="22"/>
      <c r="T19" s="22"/>
      <c r="U19" s="22">
        <f>49976.58+3406377.54+112347+27480.35+8733729.91</f>
        <v>12329911.380000001</v>
      </c>
      <c r="V19" s="22">
        <f t="shared" ref="V19:W19" si="3">49976.58+3406377.54+112347+27480.35+8733729.91</f>
        <v>12329911.380000001</v>
      </c>
      <c r="W19" s="22">
        <f t="shared" si="3"/>
        <v>12329911.380000001</v>
      </c>
      <c r="X19" s="3"/>
    </row>
    <row r="20" spans="1:24" ht="43.5" customHeight="1">
      <c r="A20" s="30" t="s">
        <v>32</v>
      </c>
      <c r="B20" s="31" t="s">
        <v>33</v>
      </c>
      <c r="C20" s="30" t="s">
        <v>52</v>
      </c>
      <c r="D20" s="30" t="s">
        <v>53</v>
      </c>
      <c r="E20" s="30" t="s">
        <v>36</v>
      </c>
      <c r="F20" s="31" t="s">
        <v>54</v>
      </c>
      <c r="G20" s="30" t="s">
        <v>38</v>
      </c>
      <c r="H20" s="30" t="s">
        <v>39</v>
      </c>
      <c r="I20" s="31" t="s">
        <v>40</v>
      </c>
      <c r="J20" s="30" t="s">
        <v>38</v>
      </c>
      <c r="K20" s="22">
        <v>470000</v>
      </c>
      <c r="L20" s="22">
        <v>0</v>
      </c>
      <c r="M20" s="22">
        <v>220000</v>
      </c>
      <c r="N20" s="22">
        <f t="shared" si="1"/>
        <v>250000</v>
      </c>
      <c r="O20" s="22"/>
      <c r="P20" s="22"/>
      <c r="Q20" s="22"/>
      <c r="R20" s="22"/>
      <c r="S20" s="22"/>
      <c r="T20" s="22"/>
      <c r="U20" s="22">
        <v>204037.16</v>
      </c>
      <c r="V20" s="22">
        <v>204037.16</v>
      </c>
      <c r="W20" s="22">
        <v>204037.16</v>
      </c>
    </row>
    <row r="21" spans="1:24" ht="52.5" customHeight="1">
      <c r="A21" s="30" t="s">
        <v>32</v>
      </c>
      <c r="B21" s="31" t="s">
        <v>33</v>
      </c>
      <c r="C21" s="30" t="s">
        <v>34</v>
      </c>
      <c r="D21" s="30" t="s">
        <v>55</v>
      </c>
      <c r="E21" s="30" t="s">
        <v>36</v>
      </c>
      <c r="F21" s="31" t="s">
        <v>56</v>
      </c>
      <c r="G21" s="30" t="s">
        <v>38</v>
      </c>
      <c r="H21" s="30" t="s">
        <v>39</v>
      </c>
      <c r="I21" s="31" t="s">
        <v>40</v>
      </c>
      <c r="J21" s="30" t="s">
        <v>38</v>
      </c>
      <c r="K21" s="22">
        <v>342000</v>
      </c>
      <c r="L21" s="22">
        <v>194100</v>
      </c>
      <c r="M21" s="22">
        <v>80000</v>
      </c>
      <c r="N21" s="22">
        <f t="shared" si="1"/>
        <v>456100</v>
      </c>
      <c r="O21" s="22"/>
      <c r="P21" s="22"/>
      <c r="Q21" s="22"/>
      <c r="R21" s="22"/>
      <c r="S21" s="22"/>
      <c r="T21" s="22"/>
      <c r="U21" s="22">
        <v>455358.78</v>
      </c>
      <c r="V21" s="22">
        <v>455358.78</v>
      </c>
      <c r="W21" s="22">
        <v>455358.78</v>
      </c>
    </row>
    <row r="22" spans="1:24" ht="76.5" customHeight="1">
      <c r="A22" s="30" t="s">
        <v>32</v>
      </c>
      <c r="B22" s="31" t="s">
        <v>33</v>
      </c>
      <c r="C22" s="30" t="s">
        <v>57</v>
      </c>
      <c r="D22" s="30" t="s">
        <v>58</v>
      </c>
      <c r="E22" s="31" t="s">
        <v>59</v>
      </c>
      <c r="F22" s="31" t="s">
        <v>60</v>
      </c>
      <c r="G22" s="30" t="s">
        <v>38</v>
      </c>
      <c r="H22" s="30" t="s">
        <v>39</v>
      </c>
      <c r="I22" s="31" t="s">
        <v>40</v>
      </c>
      <c r="J22" s="30" t="s">
        <v>38</v>
      </c>
      <c r="K22" s="22">
        <v>9100000</v>
      </c>
      <c r="L22" s="22">
        <v>0</v>
      </c>
      <c r="M22" s="22">
        <v>3085100</v>
      </c>
      <c r="N22" s="22">
        <f>K22+L22-M22</f>
        <v>6014900</v>
      </c>
      <c r="O22" s="22"/>
      <c r="P22" s="22"/>
      <c r="Q22" s="22"/>
      <c r="R22" s="22"/>
      <c r="S22" s="22"/>
      <c r="T22" s="22"/>
      <c r="U22" s="22">
        <v>0</v>
      </c>
      <c r="V22" s="22">
        <v>0</v>
      </c>
      <c r="W22" s="22">
        <v>0</v>
      </c>
    </row>
    <row r="23" spans="1:24" ht="49.5" customHeight="1">
      <c r="A23" s="32" t="s">
        <v>61</v>
      </c>
      <c r="B23" s="31" t="s">
        <v>62</v>
      </c>
      <c r="C23" s="32" t="s">
        <v>34</v>
      </c>
      <c r="D23" s="32" t="s">
        <v>63</v>
      </c>
      <c r="E23" s="30" t="s">
        <v>36</v>
      </c>
      <c r="F23" s="31" t="s">
        <v>37</v>
      </c>
      <c r="G23" s="32">
        <v>1</v>
      </c>
      <c r="H23" s="32">
        <v>1759</v>
      </c>
      <c r="I23" s="31" t="s">
        <v>64</v>
      </c>
      <c r="J23" s="32" t="s">
        <v>41</v>
      </c>
      <c r="K23" s="22">
        <v>0</v>
      </c>
      <c r="L23" s="22">
        <f>O23</f>
        <v>3010086.91</v>
      </c>
      <c r="M23" s="22">
        <v>0</v>
      </c>
      <c r="N23" s="22">
        <f>K23+L23-M23</f>
        <v>3010086.91</v>
      </c>
      <c r="O23" s="22">
        <v>3010086.91</v>
      </c>
      <c r="P23" s="22">
        <v>3010086.91</v>
      </c>
      <c r="Q23" s="22">
        <v>3010086.91</v>
      </c>
      <c r="R23" s="22"/>
      <c r="S23" s="22"/>
      <c r="T23" s="22"/>
      <c r="U23" s="22"/>
      <c r="V23" s="22"/>
      <c r="W23" s="22"/>
      <c r="X23" s="3"/>
    </row>
    <row r="24" spans="1:24" ht="51.75" customHeight="1">
      <c r="A24" s="30" t="s">
        <v>61</v>
      </c>
      <c r="B24" s="31" t="s">
        <v>62</v>
      </c>
      <c r="C24" s="30" t="s">
        <v>34</v>
      </c>
      <c r="D24" s="32" t="s">
        <v>63</v>
      </c>
      <c r="E24" s="30" t="s">
        <v>36</v>
      </c>
      <c r="F24" s="31" t="s">
        <v>37</v>
      </c>
      <c r="G24" s="30" t="s">
        <v>38</v>
      </c>
      <c r="H24" s="30" t="s">
        <v>65</v>
      </c>
      <c r="I24" s="31" t="s">
        <v>66</v>
      </c>
      <c r="J24" s="30" t="s">
        <v>41</v>
      </c>
      <c r="K24" s="22">
        <f>O24</f>
        <v>19472220.289999999</v>
      </c>
      <c r="L24" s="22">
        <v>0</v>
      </c>
      <c r="M24" s="22">
        <v>0</v>
      </c>
      <c r="N24" s="22">
        <f>K24+L24</f>
        <v>19472220.289999999</v>
      </c>
      <c r="O24" s="22">
        <f>705006.84+8721745.82+9385967.63+659500</f>
        <v>19472220.289999999</v>
      </c>
      <c r="P24" s="22">
        <f t="shared" ref="P24:Q24" si="4">705006.84+8721745.82+9385967.63+659500</f>
        <v>19472220.289999999</v>
      </c>
      <c r="Q24" s="22">
        <f t="shared" si="4"/>
        <v>19472220.289999999</v>
      </c>
      <c r="R24" s="22"/>
      <c r="S24" s="22"/>
      <c r="T24" s="22"/>
      <c r="U24" s="22"/>
      <c r="V24" s="22"/>
      <c r="W24" s="22"/>
      <c r="X24" s="3"/>
    </row>
    <row r="25" spans="1:24" ht="51.75" customHeight="1">
      <c r="A25" s="32" t="s">
        <v>61</v>
      </c>
      <c r="B25" s="31" t="s">
        <v>62</v>
      </c>
      <c r="C25" s="32" t="s">
        <v>34</v>
      </c>
      <c r="D25" s="32" t="s">
        <v>63</v>
      </c>
      <c r="E25" s="30" t="s">
        <v>36</v>
      </c>
      <c r="F25" s="31" t="s">
        <v>37</v>
      </c>
      <c r="G25" s="32">
        <v>1</v>
      </c>
      <c r="H25" s="32">
        <v>2759</v>
      </c>
      <c r="I25" s="31" t="s">
        <v>64</v>
      </c>
      <c r="J25" s="32">
        <v>3</v>
      </c>
      <c r="K25" s="22">
        <v>0</v>
      </c>
      <c r="L25" s="22">
        <v>9366850</v>
      </c>
      <c r="M25" s="22">
        <v>0</v>
      </c>
      <c r="N25" s="22">
        <f>K25+L25</f>
        <v>9366850</v>
      </c>
      <c r="O25" s="22">
        <f>6103747.01+3263102.99</f>
        <v>9366850</v>
      </c>
      <c r="P25" s="22">
        <f t="shared" ref="P25:Q25" si="5">6103747.01+3263102.99</f>
        <v>9366850</v>
      </c>
      <c r="Q25" s="22">
        <f t="shared" si="5"/>
        <v>9366850</v>
      </c>
      <c r="R25" s="22"/>
      <c r="S25" s="22"/>
      <c r="T25" s="22"/>
      <c r="U25" s="22"/>
      <c r="V25" s="22"/>
      <c r="W25" s="22"/>
      <c r="X25" s="3"/>
    </row>
    <row r="26" spans="1:24" ht="46.5" customHeight="1">
      <c r="A26" s="32" t="s">
        <v>61</v>
      </c>
      <c r="B26" s="31" t="s">
        <v>62</v>
      </c>
      <c r="C26" s="32" t="s">
        <v>34</v>
      </c>
      <c r="D26" s="32" t="s">
        <v>63</v>
      </c>
      <c r="E26" s="30" t="s">
        <v>36</v>
      </c>
      <c r="F26" s="31" t="s">
        <v>37</v>
      </c>
      <c r="G26" s="32" t="s">
        <v>38</v>
      </c>
      <c r="H26" s="32" t="s">
        <v>67</v>
      </c>
      <c r="I26" s="31" t="s">
        <v>68</v>
      </c>
      <c r="J26" s="32" t="s">
        <v>41</v>
      </c>
      <c r="K26" s="22">
        <v>0</v>
      </c>
      <c r="L26" s="22">
        <v>9681710</v>
      </c>
      <c r="M26" s="22">
        <v>0</v>
      </c>
      <c r="N26" s="22">
        <f>K26+L26</f>
        <v>9681710</v>
      </c>
      <c r="O26" s="22">
        <v>9681710</v>
      </c>
      <c r="P26" s="22">
        <v>9681710</v>
      </c>
      <c r="Q26" s="22">
        <v>9681710</v>
      </c>
      <c r="R26" s="22"/>
      <c r="S26" s="22"/>
      <c r="T26" s="22"/>
      <c r="U26" s="22"/>
      <c r="V26" s="22"/>
      <c r="W26" s="22"/>
      <c r="X26" s="3"/>
    </row>
    <row r="27" spans="1:24" ht="47.25" customHeight="1">
      <c r="A27" s="32" t="s">
        <v>61</v>
      </c>
      <c r="B27" s="31" t="s">
        <v>62</v>
      </c>
      <c r="C27" s="32" t="s">
        <v>34</v>
      </c>
      <c r="D27" s="32" t="s">
        <v>69</v>
      </c>
      <c r="E27" s="30" t="s">
        <v>36</v>
      </c>
      <c r="F27" s="31" t="s">
        <v>43</v>
      </c>
      <c r="G27" s="32" t="s">
        <v>38</v>
      </c>
      <c r="H27" s="32" t="s">
        <v>70</v>
      </c>
      <c r="I27" s="31" t="s">
        <v>64</v>
      </c>
      <c r="J27" s="32" t="s">
        <v>41</v>
      </c>
      <c r="K27" s="22">
        <v>0</v>
      </c>
      <c r="L27" s="22">
        <f>R27</f>
        <v>947509.32000000007</v>
      </c>
      <c r="M27" s="22">
        <v>0</v>
      </c>
      <c r="N27" s="22">
        <f>K27+L27</f>
        <v>947509.32000000007</v>
      </c>
      <c r="O27" s="22"/>
      <c r="P27" s="22"/>
      <c r="Q27" s="22"/>
      <c r="R27" s="22">
        <f>307509.32+640000</f>
        <v>947509.32000000007</v>
      </c>
      <c r="S27" s="22">
        <f t="shared" ref="S27:T27" si="6">307509.32+640000</f>
        <v>947509.32000000007</v>
      </c>
      <c r="T27" s="22">
        <f t="shared" si="6"/>
        <v>947509.32000000007</v>
      </c>
      <c r="U27" s="22"/>
      <c r="V27" s="22"/>
      <c r="W27" s="22"/>
      <c r="X27" s="3"/>
    </row>
    <row r="28" spans="1:24" ht="48" customHeight="1">
      <c r="A28" s="30" t="s">
        <v>61</v>
      </c>
      <c r="B28" s="31" t="s">
        <v>62</v>
      </c>
      <c r="C28" s="30" t="s">
        <v>34</v>
      </c>
      <c r="D28" s="30" t="s">
        <v>69</v>
      </c>
      <c r="E28" s="30" t="s">
        <v>36</v>
      </c>
      <c r="F28" s="31" t="s">
        <v>43</v>
      </c>
      <c r="G28" s="30" t="s">
        <v>38</v>
      </c>
      <c r="H28" s="30" t="s">
        <v>65</v>
      </c>
      <c r="I28" s="31" t="s">
        <v>68</v>
      </c>
      <c r="J28" s="30" t="s">
        <v>41</v>
      </c>
      <c r="K28" s="22">
        <f>R28</f>
        <v>2061286.77</v>
      </c>
      <c r="L28" s="22">
        <v>0</v>
      </c>
      <c r="M28" s="22">
        <v>0</v>
      </c>
      <c r="N28" s="22">
        <f t="shared" ref="N28:N34" si="7">K28+L28-M28</f>
        <v>2061286.77</v>
      </c>
      <c r="O28" s="22"/>
      <c r="P28" s="22"/>
      <c r="Q28" s="22"/>
      <c r="R28" s="22">
        <f>82993.28+873648.79+1022394.7+82250</f>
        <v>2061286.77</v>
      </c>
      <c r="S28" s="22">
        <f>82993.28+873648.79+1022394.7+82250</f>
        <v>2061286.77</v>
      </c>
      <c r="T28" s="22">
        <f>82993.28+873648.79+1022394.7+82250</f>
        <v>2061286.77</v>
      </c>
      <c r="U28" s="22"/>
      <c r="V28" s="22"/>
      <c r="W28" s="22"/>
      <c r="X28" s="3"/>
    </row>
    <row r="29" spans="1:24" ht="48.75" customHeight="1">
      <c r="A29" s="32" t="s">
        <v>61</v>
      </c>
      <c r="B29" s="31" t="s">
        <v>62</v>
      </c>
      <c r="C29" s="32" t="s">
        <v>34</v>
      </c>
      <c r="D29" s="32" t="s">
        <v>69</v>
      </c>
      <c r="E29" s="30" t="s">
        <v>36</v>
      </c>
      <c r="F29" s="31" t="s">
        <v>43</v>
      </c>
      <c r="G29" s="32">
        <v>1</v>
      </c>
      <c r="H29" s="32">
        <v>2760</v>
      </c>
      <c r="I29" s="31" t="s">
        <v>68</v>
      </c>
      <c r="J29" s="32" t="s">
        <v>41</v>
      </c>
      <c r="K29" s="22">
        <v>0</v>
      </c>
      <c r="L29" s="22">
        <v>2820000</v>
      </c>
      <c r="M29" s="22">
        <v>170000</v>
      </c>
      <c r="N29" s="22">
        <f t="shared" si="7"/>
        <v>2650000</v>
      </c>
      <c r="O29" s="22"/>
      <c r="P29" s="22"/>
      <c r="Q29" s="22"/>
      <c r="R29" s="22">
        <f>1710680.4+939319.6</f>
        <v>2650000</v>
      </c>
      <c r="S29" s="22">
        <f t="shared" ref="S29:T29" si="8">1710680.4+939319.6</f>
        <v>2650000</v>
      </c>
      <c r="T29" s="22">
        <f t="shared" si="8"/>
        <v>2650000</v>
      </c>
      <c r="U29" s="22"/>
      <c r="V29" s="22"/>
      <c r="W29" s="22"/>
      <c r="X29" s="3"/>
    </row>
    <row r="30" spans="1:24" ht="49.5" customHeight="1">
      <c r="A30" s="30" t="s">
        <v>61</v>
      </c>
      <c r="B30" s="31" t="s">
        <v>62</v>
      </c>
      <c r="C30" s="30" t="s">
        <v>48</v>
      </c>
      <c r="D30" s="30" t="s">
        <v>71</v>
      </c>
      <c r="E30" s="31" t="s">
        <v>50</v>
      </c>
      <c r="F30" s="31" t="s">
        <v>72</v>
      </c>
      <c r="G30" s="30" t="s">
        <v>38</v>
      </c>
      <c r="H30" s="30" t="s">
        <v>70</v>
      </c>
      <c r="I30" s="31" t="s">
        <v>64</v>
      </c>
      <c r="J30" s="30" t="s">
        <v>41</v>
      </c>
      <c r="K30" s="22">
        <f>U30</f>
        <v>20465124.539999999</v>
      </c>
      <c r="L30" s="22">
        <v>0</v>
      </c>
      <c r="M30" s="22">
        <v>0</v>
      </c>
      <c r="N30" s="22">
        <f t="shared" si="7"/>
        <v>20465124.539999999</v>
      </c>
      <c r="O30" s="22"/>
      <c r="P30" s="22"/>
      <c r="Q30" s="22"/>
      <c r="R30" s="22"/>
      <c r="S30" s="22"/>
      <c r="T30" s="22"/>
      <c r="U30" s="22">
        <f>175148+1330000+18775696.54+184280</f>
        <v>20465124.539999999</v>
      </c>
      <c r="V30" s="22">
        <f>175148+1330000+18775696.54+184280</f>
        <v>20465124.539999999</v>
      </c>
      <c r="W30" s="22">
        <f>175148+1330000+18775696.54+184280</f>
        <v>20465124.539999999</v>
      </c>
      <c r="X30" s="3"/>
    </row>
    <row r="31" spans="1:24" ht="49.5" customHeight="1">
      <c r="A31" s="30" t="s">
        <v>61</v>
      </c>
      <c r="B31" s="31" t="s">
        <v>62</v>
      </c>
      <c r="C31" s="30" t="s">
        <v>48</v>
      </c>
      <c r="D31" s="30" t="s">
        <v>71</v>
      </c>
      <c r="E31" s="31" t="s">
        <v>50</v>
      </c>
      <c r="F31" s="31" t="s">
        <v>72</v>
      </c>
      <c r="G31" s="30" t="s">
        <v>38</v>
      </c>
      <c r="H31" s="30" t="s">
        <v>65</v>
      </c>
      <c r="I31" s="31" t="s">
        <v>68</v>
      </c>
      <c r="J31" s="30" t="s">
        <v>41</v>
      </c>
      <c r="K31" s="22">
        <f>U31</f>
        <v>7716645.75</v>
      </c>
      <c r="L31" s="22">
        <v>0</v>
      </c>
      <c r="M31" s="22">
        <v>0</v>
      </c>
      <c r="N31" s="22">
        <f t="shared" si="7"/>
        <v>7716645.75</v>
      </c>
      <c r="O31" s="22"/>
      <c r="P31" s="22"/>
      <c r="Q31" s="22"/>
      <c r="R31" s="22"/>
      <c r="S31" s="22"/>
      <c r="T31" s="22"/>
      <c r="U31" s="22">
        <f>2580164.57+2801486.68+2327874.5+7120</f>
        <v>7716645.75</v>
      </c>
      <c r="V31" s="22">
        <f>2580164.57+2801486.68+2327874.5+7120</f>
        <v>7716645.75</v>
      </c>
      <c r="W31" s="22">
        <f>2580164.57+2801486.68+2327874.5+7120</f>
        <v>7716645.75</v>
      </c>
      <c r="X31" s="3"/>
    </row>
    <row r="32" spans="1:24" ht="51" customHeight="1">
      <c r="A32" s="32" t="s">
        <v>61</v>
      </c>
      <c r="B32" s="31" t="s">
        <v>62</v>
      </c>
      <c r="C32" s="32" t="s">
        <v>48</v>
      </c>
      <c r="D32" s="32" t="s">
        <v>71</v>
      </c>
      <c r="E32" s="31" t="s">
        <v>50</v>
      </c>
      <c r="F32" s="31" t="s">
        <v>72</v>
      </c>
      <c r="G32" s="32">
        <v>1</v>
      </c>
      <c r="H32" s="32">
        <v>2759</v>
      </c>
      <c r="I32" s="31" t="s">
        <v>73</v>
      </c>
      <c r="J32" s="32">
        <v>3</v>
      </c>
      <c r="K32" s="22">
        <v>0</v>
      </c>
      <c r="L32" s="22">
        <f>U32</f>
        <v>864013.83000000007</v>
      </c>
      <c r="M32" s="22">
        <v>0</v>
      </c>
      <c r="N32" s="22">
        <f t="shared" si="7"/>
        <v>864013.83000000007</v>
      </c>
      <c r="O32" s="22"/>
      <c r="P32" s="22"/>
      <c r="Q32" s="22"/>
      <c r="R32" s="22"/>
      <c r="S32" s="22"/>
      <c r="T32" s="22"/>
      <c r="U32" s="22">
        <f>121468.31+742545.52</f>
        <v>864013.83000000007</v>
      </c>
      <c r="V32" s="22">
        <f>121468.31+742545.52</f>
        <v>864013.83000000007</v>
      </c>
      <c r="W32" s="22">
        <f>121468.31+742545.52</f>
        <v>864013.83000000007</v>
      </c>
      <c r="X32" s="3"/>
    </row>
    <row r="33" spans="1:24" ht="53.25" customHeight="1">
      <c r="A33" s="32" t="s">
        <v>61</v>
      </c>
      <c r="B33" s="31" t="s">
        <v>62</v>
      </c>
      <c r="C33" s="32" t="s">
        <v>48</v>
      </c>
      <c r="D33" s="32" t="s">
        <v>71</v>
      </c>
      <c r="E33" s="31" t="s">
        <v>50</v>
      </c>
      <c r="F33" s="31" t="s">
        <v>72</v>
      </c>
      <c r="G33" s="32" t="s">
        <v>38</v>
      </c>
      <c r="H33" s="32">
        <v>2760</v>
      </c>
      <c r="I33" s="31" t="s">
        <v>68</v>
      </c>
      <c r="J33" s="32">
        <v>3</v>
      </c>
      <c r="K33" s="22">
        <v>0</v>
      </c>
      <c r="L33" s="22">
        <v>6260000</v>
      </c>
      <c r="M33" s="22">
        <v>0</v>
      </c>
      <c r="N33" s="22">
        <f t="shared" si="7"/>
        <v>6260000</v>
      </c>
      <c r="O33" s="22"/>
      <c r="P33" s="22"/>
      <c r="Q33" s="22"/>
      <c r="R33" s="22"/>
      <c r="S33" s="22"/>
      <c r="T33" s="22"/>
      <c r="U33" s="22">
        <f>4116140.72+2143859.28</f>
        <v>6260000</v>
      </c>
      <c r="V33" s="22">
        <f>4116140.72+2143859.28</f>
        <v>6260000</v>
      </c>
      <c r="W33" s="22">
        <f>4116140.72+2143859.28</f>
        <v>6260000</v>
      </c>
      <c r="X33" s="3"/>
    </row>
    <row r="34" spans="1:24" ht="55.5" customHeight="1">
      <c r="A34" s="30" t="s">
        <v>61</v>
      </c>
      <c r="B34" s="31" t="s">
        <v>62</v>
      </c>
      <c r="C34" s="30" t="s">
        <v>34</v>
      </c>
      <c r="D34" s="30" t="s">
        <v>74</v>
      </c>
      <c r="E34" s="30" t="s">
        <v>36</v>
      </c>
      <c r="F34" s="31" t="s">
        <v>75</v>
      </c>
      <c r="G34" s="30" t="s">
        <v>38</v>
      </c>
      <c r="H34" s="30" t="s">
        <v>70</v>
      </c>
      <c r="I34" s="31" t="s">
        <v>64</v>
      </c>
      <c r="J34" s="30" t="s">
        <v>41</v>
      </c>
      <c r="K34" s="22">
        <v>11300800</v>
      </c>
      <c r="L34" s="22"/>
      <c r="M34" s="22">
        <v>1500000</v>
      </c>
      <c r="N34" s="22">
        <f t="shared" si="7"/>
        <v>9800800</v>
      </c>
      <c r="O34" s="22"/>
      <c r="P34" s="22"/>
      <c r="Q34" s="22"/>
      <c r="R34" s="22"/>
      <c r="S34" s="22"/>
      <c r="T34" s="22"/>
      <c r="U34" s="22">
        <v>9800800</v>
      </c>
      <c r="V34" s="22">
        <v>9800800</v>
      </c>
      <c r="W34" s="22">
        <v>9800800</v>
      </c>
    </row>
    <row r="35" spans="1:24" ht="15" customHeight="1">
      <c r="A35" s="40" t="s">
        <v>76</v>
      </c>
      <c r="B35" s="40"/>
      <c r="C35" s="40"/>
      <c r="D35" s="40"/>
      <c r="E35" s="40"/>
      <c r="F35" s="40"/>
      <c r="G35" s="2"/>
      <c r="H35" s="2"/>
      <c r="I35" s="1"/>
      <c r="J35" s="2"/>
      <c r="K35" s="14">
        <f t="shared" ref="K35:W35" si="9">SUM(K10:K34)</f>
        <v>813692057.69999993</v>
      </c>
      <c r="L35" s="14">
        <f t="shared" si="9"/>
        <v>159696478.06</v>
      </c>
      <c r="M35" s="14">
        <f t="shared" si="9"/>
        <v>57696204</v>
      </c>
      <c r="N35" s="14">
        <f t="shared" si="9"/>
        <v>915692331.75999999</v>
      </c>
      <c r="O35" s="14">
        <f t="shared" si="9"/>
        <v>558519633.26999998</v>
      </c>
      <c r="P35" s="14">
        <f t="shared" si="9"/>
        <v>558519633.26999998</v>
      </c>
      <c r="Q35" s="14">
        <f t="shared" si="9"/>
        <v>558273059.48000002</v>
      </c>
      <c r="R35" s="14">
        <f t="shared" si="9"/>
        <v>109201996.95999999</v>
      </c>
      <c r="S35" s="14">
        <f t="shared" si="9"/>
        <v>109201996.95999999</v>
      </c>
      <c r="T35" s="14">
        <f t="shared" si="9"/>
        <v>109152659.28</v>
      </c>
      <c r="U35" s="14">
        <f t="shared" si="9"/>
        <v>240329508.19999999</v>
      </c>
      <c r="V35" s="14">
        <f t="shared" si="9"/>
        <v>240329508.19999999</v>
      </c>
      <c r="W35" s="14">
        <f t="shared" si="9"/>
        <v>240144475.13999999</v>
      </c>
    </row>
    <row r="36" spans="1:24" ht="15" customHeight="1">
      <c r="A36" s="40" t="s">
        <v>77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4" ht="41.25" customHeight="1">
      <c r="A37" s="30" t="s">
        <v>32</v>
      </c>
      <c r="B37" s="31" t="s">
        <v>33</v>
      </c>
      <c r="C37" s="30" t="s">
        <v>34</v>
      </c>
      <c r="D37" s="30" t="s">
        <v>35</v>
      </c>
      <c r="E37" s="30" t="s">
        <v>36</v>
      </c>
      <c r="F37" s="31" t="s">
        <v>37</v>
      </c>
      <c r="G37" s="30" t="s">
        <v>38</v>
      </c>
      <c r="H37" s="30" t="s">
        <v>39</v>
      </c>
      <c r="I37" s="31" t="s">
        <v>40</v>
      </c>
      <c r="J37" s="30" t="s">
        <v>41</v>
      </c>
      <c r="K37" s="22">
        <f>O37</f>
        <v>3473282.3800000027</v>
      </c>
      <c r="L37" s="22"/>
      <c r="M37" s="22"/>
      <c r="N37" s="22">
        <f t="shared" ref="N37:N70" si="10">K37+L37-M37</f>
        <v>3473282.3800000027</v>
      </c>
      <c r="O37" s="22">
        <f>44772792.65-O11</f>
        <v>3473282.3800000027</v>
      </c>
      <c r="P37" s="22">
        <f>44772792.65-P11</f>
        <v>3473282.3800000027</v>
      </c>
      <c r="Q37" s="22">
        <f>44772792.65-Q11</f>
        <v>3473282.3800000027</v>
      </c>
      <c r="R37" s="22"/>
      <c r="S37" s="22"/>
      <c r="T37" s="22"/>
      <c r="U37" s="22"/>
      <c r="V37" s="22"/>
      <c r="W37" s="22"/>
    </row>
    <row r="38" spans="1:24" ht="42" customHeight="1">
      <c r="A38" s="30" t="s">
        <v>32</v>
      </c>
      <c r="B38" s="31" t="s">
        <v>33</v>
      </c>
      <c r="C38" s="30" t="s">
        <v>34</v>
      </c>
      <c r="D38" s="30" t="s">
        <v>42</v>
      </c>
      <c r="E38" s="30" t="s">
        <v>36</v>
      </c>
      <c r="F38" s="31" t="s">
        <v>43</v>
      </c>
      <c r="G38" s="30" t="s">
        <v>38</v>
      </c>
      <c r="H38" s="30" t="s">
        <v>39</v>
      </c>
      <c r="I38" s="31" t="s">
        <v>40</v>
      </c>
      <c r="J38" s="30" t="s">
        <v>41</v>
      </c>
      <c r="K38" s="22">
        <f>R38</f>
        <v>424092.1400000006</v>
      </c>
      <c r="L38" s="22"/>
      <c r="M38" s="22"/>
      <c r="N38" s="22">
        <f>K38+L38-M38</f>
        <v>424092.1400000006</v>
      </c>
      <c r="O38" s="22"/>
      <c r="P38" s="22"/>
      <c r="Q38" s="22"/>
      <c r="R38" s="22">
        <f>7102930.37-R15</f>
        <v>424092.1400000006</v>
      </c>
      <c r="S38" s="22">
        <f>7102930.37-S15</f>
        <v>424092.1400000006</v>
      </c>
      <c r="T38" s="22">
        <f>7102930.37-T15</f>
        <v>424092.1400000006</v>
      </c>
      <c r="U38" s="22"/>
      <c r="V38" s="22"/>
      <c r="W38" s="22"/>
    </row>
    <row r="39" spans="1:24" ht="39.75" customHeight="1">
      <c r="A39" s="30" t="s">
        <v>32</v>
      </c>
      <c r="B39" s="31" t="s">
        <v>33</v>
      </c>
      <c r="C39" s="30" t="s">
        <v>48</v>
      </c>
      <c r="D39" s="30" t="s">
        <v>49</v>
      </c>
      <c r="E39" s="31" t="s">
        <v>50</v>
      </c>
      <c r="F39" s="31" t="s">
        <v>51</v>
      </c>
      <c r="G39" s="30" t="s">
        <v>38</v>
      </c>
      <c r="H39" s="30" t="s">
        <v>39</v>
      </c>
      <c r="I39" s="31" t="s">
        <v>40</v>
      </c>
      <c r="J39" s="30" t="s">
        <v>41</v>
      </c>
      <c r="K39" s="22">
        <f>U39</f>
        <v>841925.12999999896</v>
      </c>
      <c r="L39" s="22"/>
      <c r="M39" s="22"/>
      <c r="N39" s="22">
        <f t="shared" si="10"/>
        <v>841925.12999999896</v>
      </c>
      <c r="O39" s="22"/>
      <c r="P39" s="22"/>
      <c r="Q39" s="22"/>
      <c r="R39" s="22"/>
      <c r="S39" s="22"/>
      <c r="T39" s="22"/>
      <c r="U39" s="22">
        <f>13171836.51-U19</f>
        <v>841925.12999999896</v>
      </c>
      <c r="V39" s="22">
        <f>13156836.51-V19</f>
        <v>826925.12999999896</v>
      </c>
      <c r="W39" s="22">
        <f>13156836.51-W19</f>
        <v>826925.12999999896</v>
      </c>
      <c r="X39" s="4"/>
    </row>
    <row r="40" spans="1:24" ht="41.25" customHeight="1">
      <c r="A40" s="30" t="s">
        <v>32</v>
      </c>
      <c r="B40" s="31" t="s">
        <v>33</v>
      </c>
      <c r="C40" s="30" t="s">
        <v>52</v>
      </c>
      <c r="D40" s="30" t="s">
        <v>53</v>
      </c>
      <c r="E40" s="30" t="s">
        <v>36</v>
      </c>
      <c r="F40" s="31" t="s">
        <v>54</v>
      </c>
      <c r="G40" s="30" t="s">
        <v>38</v>
      </c>
      <c r="H40" s="30" t="s">
        <v>39</v>
      </c>
      <c r="I40" s="31" t="s">
        <v>40</v>
      </c>
      <c r="J40" s="30" t="s">
        <v>41</v>
      </c>
      <c r="K40" s="22">
        <v>150000</v>
      </c>
      <c r="L40" s="22">
        <v>0</v>
      </c>
      <c r="M40" s="22">
        <v>95000</v>
      </c>
      <c r="N40" s="22">
        <f t="shared" si="10"/>
        <v>55000</v>
      </c>
      <c r="O40" s="22"/>
      <c r="P40" s="22"/>
      <c r="Q40" s="22"/>
      <c r="R40" s="22"/>
      <c r="S40" s="22"/>
      <c r="T40" s="22"/>
      <c r="U40" s="22">
        <v>54691.59</v>
      </c>
      <c r="V40" s="22">
        <v>54691.59</v>
      </c>
      <c r="W40" s="22">
        <v>54691.59</v>
      </c>
    </row>
    <row r="41" spans="1:24" ht="45">
      <c r="A41" s="30" t="s">
        <v>32</v>
      </c>
      <c r="B41" s="31" t="s">
        <v>33</v>
      </c>
      <c r="C41" s="30" t="s">
        <v>34</v>
      </c>
      <c r="D41" s="30" t="s">
        <v>55</v>
      </c>
      <c r="E41" s="30" t="s">
        <v>36</v>
      </c>
      <c r="F41" s="31" t="s">
        <v>56</v>
      </c>
      <c r="G41" s="30" t="s">
        <v>38</v>
      </c>
      <c r="H41" s="30" t="s">
        <v>39</v>
      </c>
      <c r="I41" s="31" t="s">
        <v>40</v>
      </c>
      <c r="J41" s="30" t="s">
        <v>41</v>
      </c>
      <c r="K41" s="22">
        <v>178500</v>
      </c>
      <c r="L41" s="22">
        <v>0</v>
      </c>
      <c r="M41" s="22">
        <v>97600</v>
      </c>
      <c r="N41" s="22">
        <f t="shared" si="10"/>
        <v>80900</v>
      </c>
      <c r="O41" s="22"/>
      <c r="P41" s="22"/>
      <c r="Q41" s="22"/>
      <c r="R41" s="22"/>
      <c r="S41" s="22"/>
      <c r="T41" s="22"/>
      <c r="U41" s="22">
        <v>66691</v>
      </c>
      <c r="V41" s="22">
        <v>66691</v>
      </c>
      <c r="W41" s="22">
        <v>66691</v>
      </c>
    </row>
    <row r="42" spans="1:24" ht="53.25" customHeight="1">
      <c r="A42" s="30" t="s">
        <v>32</v>
      </c>
      <c r="B42" s="31" t="s">
        <v>33</v>
      </c>
      <c r="C42" s="30" t="s">
        <v>34</v>
      </c>
      <c r="D42" s="30" t="s">
        <v>55</v>
      </c>
      <c r="E42" s="30" t="s">
        <v>36</v>
      </c>
      <c r="F42" s="31" t="s">
        <v>56</v>
      </c>
      <c r="G42" s="30" t="s">
        <v>38</v>
      </c>
      <c r="H42" s="30" t="s">
        <v>39</v>
      </c>
      <c r="I42" s="31" t="s">
        <v>40</v>
      </c>
      <c r="J42" s="30" t="s">
        <v>78</v>
      </c>
      <c r="K42" s="22">
        <v>116500</v>
      </c>
      <c r="L42" s="22">
        <v>0</v>
      </c>
      <c r="M42" s="22">
        <v>116500</v>
      </c>
      <c r="N42" s="22">
        <f t="shared" si="10"/>
        <v>0</v>
      </c>
      <c r="O42" s="22"/>
      <c r="P42" s="22"/>
      <c r="Q42" s="22"/>
      <c r="R42" s="22"/>
      <c r="S42" s="22"/>
      <c r="T42" s="22"/>
      <c r="U42" s="22">
        <v>0</v>
      </c>
      <c r="V42" s="22">
        <v>0</v>
      </c>
      <c r="W42" s="22">
        <v>0</v>
      </c>
    </row>
    <row r="43" spans="1:24" ht="54.75" customHeight="1">
      <c r="A43" s="30" t="s">
        <v>61</v>
      </c>
      <c r="B43" s="31" t="s">
        <v>62</v>
      </c>
      <c r="C43" s="30" t="s">
        <v>34</v>
      </c>
      <c r="D43" s="30" t="s">
        <v>79</v>
      </c>
      <c r="E43" s="30" t="s">
        <v>36</v>
      </c>
      <c r="F43" s="31" t="s">
        <v>80</v>
      </c>
      <c r="G43" s="30" t="s">
        <v>38</v>
      </c>
      <c r="H43" s="30" t="s">
        <v>65</v>
      </c>
      <c r="I43" s="31" t="s">
        <v>68</v>
      </c>
      <c r="J43" s="30" t="s">
        <v>78</v>
      </c>
      <c r="K43" s="22">
        <v>50000</v>
      </c>
      <c r="L43" s="22">
        <v>0</v>
      </c>
      <c r="M43" s="22">
        <v>50000</v>
      </c>
      <c r="N43" s="22">
        <f t="shared" si="10"/>
        <v>0</v>
      </c>
      <c r="O43" s="22"/>
      <c r="P43" s="22"/>
      <c r="Q43" s="22"/>
      <c r="R43" s="22"/>
      <c r="S43" s="22"/>
      <c r="T43" s="22"/>
      <c r="U43" s="22">
        <v>0</v>
      </c>
      <c r="V43" s="22">
        <v>0</v>
      </c>
      <c r="W43" s="22">
        <v>0</v>
      </c>
    </row>
    <row r="44" spans="1:24" ht="52.5" customHeight="1">
      <c r="A44" s="30" t="s">
        <v>61</v>
      </c>
      <c r="B44" s="31" t="s">
        <v>62</v>
      </c>
      <c r="C44" s="30" t="s">
        <v>34</v>
      </c>
      <c r="D44" s="30" t="s">
        <v>81</v>
      </c>
      <c r="E44" s="30" t="s">
        <v>36</v>
      </c>
      <c r="F44" s="31" t="s">
        <v>82</v>
      </c>
      <c r="G44" s="30" t="s">
        <v>38</v>
      </c>
      <c r="H44" s="30" t="s">
        <v>65</v>
      </c>
      <c r="I44" s="31" t="s">
        <v>66</v>
      </c>
      <c r="J44" s="30" t="s">
        <v>78</v>
      </c>
      <c r="K44" s="22">
        <v>50000</v>
      </c>
      <c r="L44" s="22">
        <v>0</v>
      </c>
      <c r="M44" s="22">
        <v>50000</v>
      </c>
      <c r="N44" s="22">
        <f t="shared" si="10"/>
        <v>0</v>
      </c>
      <c r="O44" s="22"/>
      <c r="P44" s="22"/>
      <c r="Q44" s="22"/>
      <c r="R44" s="22"/>
      <c r="S44" s="22"/>
      <c r="T44" s="22"/>
      <c r="U44" s="22">
        <v>0</v>
      </c>
      <c r="V44" s="22">
        <v>0</v>
      </c>
      <c r="W44" s="22">
        <v>0</v>
      </c>
    </row>
    <row r="45" spans="1:24" ht="50.25" customHeight="1">
      <c r="A45" s="30" t="s">
        <v>61</v>
      </c>
      <c r="B45" s="31" t="s">
        <v>62</v>
      </c>
      <c r="C45" s="30" t="s">
        <v>34</v>
      </c>
      <c r="D45" s="30" t="s">
        <v>83</v>
      </c>
      <c r="E45" s="30" t="s">
        <v>36</v>
      </c>
      <c r="F45" s="31" t="s">
        <v>84</v>
      </c>
      <c r="G45" s="30" t="s">
        <v>38</v>
      </c>
      <c r="H45" s="30" t="s">
        <v>65</v>
      </c>
      <c r="I45" s="31" t="s">
        <v>68</v>
      </c>
      <c r="J45" s="30" t="s">
        <v>41</v>
      </c>
      <c r="K45" s="22">
        <v>5400000</v>
      </c>
      <c r="L45" s="22">
        <v>0</v>
      </c>
      <c r="M45" s="22">
        <v>920500</v>
      </c>
      <c r="N45" s="22">
        <f t="shared" si="10"/>
        <v>4479500</v>
      </c>
      <c r="O45" s="22"/>
      <c r="P45" s="22"/>
      <c r="Q45" s="22"/>
      <c r="R45" s="22"/>
      <c r="S45" s="22"/>
      <c r="T45" s="22"/>
      <c r="U45" s="22">
        <v>4398029.08</v>
      </c>
      <c r="V45" s="22">
        <v>2226218.44</v>
      </c>
      <c r="W45" s="22">
        <v>2226218.44</v>
      </c>
    </row>
    <row r="46" spans="1:24" ht="45">
      <c r="A46" s="32" t="s">
        <v>61</v>
      </c>
      <c r="B46" s="31" t="s">
        <v>62</v>
      </c>
      <c r="C46" s="32" t="s">
        <v>34</v>
      </c>
      <c r="D46" s="32" t="s">
        <v>63</v>
      </c>
      <c r="E46" s="30" t="s">
        <v>36</v>
      </c>
      <c r="F46" s="31" t="s">
        <v>37</v>
      </c>
      <c r="G46" s="32" t="s">
        <v>38</v>
      </c>
      <c r="H46" s="32" t="s">
        <v>70</v>
      </c>
      <c r="I46" s="31" t="s">
        <v>64</v>
      </c>
      <c r="J46" s="32" t="s">
        <v>41</v>
      </c>
      <c r="K46" s="22">
        <v>0</v>
      </c>
      <c r="L46" s="22">
        <f>3535000-L23</f>
        <v>524913.08999999985</v>
      </c>
      <c r="M46" s="22">
        <v>0</v>
      </c>
      <c r="N46" s="22">
        <f t="shared" si="10"/>
        <v>524913.08999999985</v>
      </c>
      <c r="O46" s="22">
        <f>3508124.17-O23</f>
        <v>498037.25999999978</v>
      </c>
      <c r="P46" s="22">
        <f>3464790.87-P23</f>
        <v>454703.95999999996</v>
      </c>
      <c r="Q46" s="22">
        <f>3464790.87-Q23</f>
        <v>454703.95999999996</v>
      </c>
      <c r="R46" s="22"/>
      <c r="S46" s="22"/>
      <c r="T46" s="22"/>
      <c r="U46" s="22"/>
      <c r="V46" s="22"/>
      <c r="W46" s="22"/>
    </row>
    <row r="47" spans="1:24" ht="51" customHeight="1">
      <c r="A47" s="30" t="s">
        <v>61</v>
      </c>
      <c r="B47" s="31" t="s">
        <v>62</v>
      </c>
      <c r="C47" s="30" t="s">
        <v>34</v>
      </c>
      <c r="D47" s="30" t="s">
        <v>63</v>
      </c>
      <c r="E47" s="30" t="s">
        <v>36</v>
      </c>
      <c r="F47" s="31" t="s">
        <v>37</v>
      </c>
      <c r="G47" s="30" t="s">
        <v>38</v>
      </c>
      <c r="H47" s="30" t="s">
        <v>65</v>
      </c>
      <c r="I47" s="31" t="s">
        <v>68</v>
      </c>
      <c r="J47" s="30" t="s">
        <v>41</v>
      </c>
      <c r="K47" s="22">
        <f>49553970-K24</f>
        <v>30081749.710000001</v>
      </c>
      <c r="L47" s="22">
        <v>8965400</v>
      </c>
      <c r="M47" s="22">
        <v>0</v>
      </c>
      <c r="N47" s="22">
        <f t="shared" si="10"/>
        <v>39047149.710000001</v>
      </c>
      <c r="O47" s="22">
        <f>58425626.08-O24</f>
        <v>38953405.789999999</v>
      </c>
      <c r="P47" s="22">
        <f>54607970.42-P24</f>
        <v>35135750.130000003</v>
      </c>
      <c r="Q47" s="22">
        <f>54600395.46-Q24</f>
        <v>35128175.170000002</v>
      </c>
      <c r="R47" s="22"/>
      <c r="S47" s="22"/>
      <c r="T47" s="22"/>
      <c r="U47" s="22"/>
      <c r="V47" s="22"/>
      <c r="W47" s="22"/>
    </row>
    <row r="48" spans="1:24" ht="51.75" customHeight="1">
      <c r="A48" s="30" t="s">
        <v>61</v>
      </c>
      <c r="B48" s="31" t="s">
        <v>62</v>
      </c>
      <c r="C48" s="30" t="s">
        <v>34</v>
      </c>
      <c r="D48" s="30" t="s">
        <v>63</v>
      </c>
      <c r="E48" s="30" t="s">
        <v>36</v>
      </c>
      <c r="F48" s="31" t="s">
        <v>37</v>
      </c>
      <c r="G48" s="30" t="s">
        <v>38</v>
      </c>
      <c r="H48" s="30" t="s">
        <v>65</v>
      </c>
      <c r="I48" s="31" t="s">
        <v>68</v>
      </c>
      <c r="J48" s="30" t="s">
        <v>78</v>
      </c>
      <c r="K48" s="22">
        <v>150000</v>
      </c>
      <c r="L48" s="22">
        <v>0</v>
      </c>
      <c r="M48" s="22">
        <v>13600</v>
      </c>
      <c r="N48" s="22">
        <f t="shared" si="10"/>
        <v>136400</v>
      </c>
      <c r="O48" s="22">
        <v>136385.1</v>
      </c>
      <c r="P48" s="22">
        <v>124681.1</v>
      </c>
      <c r="Q48" s="22">
        <v>124681.1</v>
      </c>
      <c r="R48" s="22"/>
      <c r="S48" s="22"/>
      <c r="T48" s="22"/>
      <c r="U48" s="22"/>
      <c r="V48" s="22"/>
      <c r="W48" s="22"/>
    </row>
    <row r="49" spans="1:23" ht="48" customHeight="1">
      <c r="A49" s="32" t="s">
        <v>32</v>
      </c>
      <c r="B49" s="31" t="s">
        <v>33</v>
      </c>
      <c r="C49" s="32" t="s">
        <v>34</v>
      </c>
      <c r="D49" s="32" t="s">
        <v>35</v>
      </c>
      <c r="E49" s="30" t="s">
        <v>36</v>
      </c>
      <c r="F49" s="31" t="s">
        <v>37</v>
      </c>
      <c r="G49" s="32">
        <v>1</v>
      </c>
      <c r="H49" s="32">
        <v>1754</v>
      </c>
      <c r="I49" s="31" t="s">
        <v>85</v>
      </c>
      <c r="J49" s="32">
        <v>4</v>
      </c>
      <c r="K49" s="22">
        <v>0</v>
      </c>
      <c r="L49" s="22">
        <v>50000000</v>
      </c>
      <c r="M49" s="22">
        <v>0</v>
      </c>
      <c r="N49" s="22">
        <f t="shared" si="10"/>
        <v>50000000</v>
      </c>
      <c r="O49" s="22">
        <v>0</v>
      </c>
      <c r="P49" s="22">
        <v>0</v>
      </c>
      <c r="Q49" s="22">
        <v>0</v>
      </c>
      <c r="R49" s="22"/>
      <c r="S49" s="22"/>
      <c r="T49" s="22"/>
      <c r="U49" s="22"/>
      <c r="V49" s="22"/>
      <c r="W49" s="22"/>
    </row>
    <row r="50" spans="1:23" ht="54.75" customHeight="1">
      <c r="A50" s="30" t="s">
        <v>61</v>
      </c>
      <c r="B50" s="31" t="s">
        <v>62</v>
      </c>
      <c r="C50" s="30" t="s">
        <v>48</v>
      </c>
      <c r="D50" s="30" t="s">
        <v>71</v>
      </c>
      <c r="E50" s="31" t="s">
        <v>50</v>
      </c>
      <c r="F50" s="31" t="s">
        <v>72</v>
      </c>
      <c r="G50" s="30" t="s">
        <v>38</v>
      </c>
      <c r="H50" s="30" t="s">
        <v>70</v>
      </c>
      <c r="I50" s="31" t="s">
        <v>64</v>
      </c>
      <c r="J50" s="30" t="s">
        <v>41</v>
      </c>
      <c r="K50" s="22">
        <f>22978900-K30</f>
        <v>2513775.4600000009</v>
      </c>
      <c r="L50" s="22">
        <v>4606000</v>
      </c>
      <c r="M50" s="22">
        <v>65000</v>
      </c>
      <c r="N50" s="22">
        <f t="shared" si="10"/>
        <v>7054775.4600000009</v>
      </c>
      <c r="O50" s="22"/>
      <c r="P50" s="22"/>
      <c r="Q50" s="22"/>
      <c r="R50" s="22"/>
      <c r="S50" s="22"/>
      <c r="T50" s="22"/>
      <c r="U50" s="22">
        <f>27513072.57-U30</f>
        <v>7047948.0300000012</v>
      </c>
      <c r="V50" s="22">
        <f>26651400.87-V30</f>
        <v>6186276.3300000019</v>
      </c>
      <c r="W50" s="22">
        <f>26651400.87-W30</f>
        <v>6186276.3300000019</v>
      </c>
    </row>
    <row r="51" spans="1:23" ht="51.75" customHeight="1">
      <c r="A51" s="30" t="s">
        <v>61</v>
      </c>
      <c r="B51" s="31" t="s">
        <v>62</v>
      </c>
      <c r="C51" s="30" t="s">
        <v>48</v>
      </c>
      <c r="D51" s="30" t="s">
        <v>71</v>
      </c>
      <c r="E51" s="31" t="s">
        <v>50</v>
      </c>
      <c r="F51" s="31" t="s">
        <v>72</v>
      </c>
      <c r="G51" s="30" t="s">
        <v>38</v>
      </c>
      <c r="H51" s="30" t="s">
        <v>65</v>
      </c>
      <c r="I51" s="31" t="s">
        <v>68</v>
      </c>
      <c r="J51" s="30" t="s">
        <v>41</v>
      </c>
      <c r="K51" s="22">
        <f>26592250-K31</f>
        <v>18875604.25</v>
      </c>
      <c r="L51" s="22">
        <v>1560000</v>
      </c>
      <c r="M51" s="22">
        <v>0</v>
      </c>
      <c r="N51" s="22">
        <f t="shared" si="10"/>
        <v>20435604.25</v>
      </c>
      <c r="O51" s="22"/>
      <c r="P51" s="22"/>
      <c r="Q51" s="22"/>
      <c r="R51" s="22"/>
      <c r="S51" s="22"/>
      <c r="T51" s="22"/>
      <c r="U51" s="22">
        <f>28092250-U31</f>
        <v>20375604.25</v>
      </c>
      <c r="V51" s="22">
        <f>26100570.86-V31</f>
        <v>18383925.109999999</v>
      </c>
      <c r="W51" s="22">
        <f>26100570.86-W31</f>
        <v>18383925.109999999</v>
      </c>
    </row>
    <row r="52" spans="1:23" ht="45">
      <c r="A52" s="32" t="s">
        <v>61</v>
      </c>
      <c r="B52" s="31" t="s">
        <v>62</v>
      </c>
      <c r="C52" s="32" t="s">
        <v>48</v>
      </c>
      <c r="D52" s="32" t="s">
        <v>71</v>
      </c>
      <c r="E52" s="31" t="s">
        <v>50</v>
      </c>
      <c r="F52" s="31" t="s">
        <v>72</v>
      </c>
      <c r="G52" s="32" t="s">
        <v>38</v>
      </c>
      <c r="H52" s="32">
        <v>2759</v>
      </c>
      <c r="I52" s="31" t="s">
        <v>73</v>
      </c>
      <c r="J52" s="32" t="s">
        <v>41</v>
      </c>
      <c r="K52" s="22">
        <v>0</v>
      </c>
      <c r="L52" s="22">
        <f>1430000-L32</f>
        <v>565986.16999999993</v>
      </c>
      <c r="M52" s="22">
        <v>250000</v>
      </c>
      <c r="N52" s="22">
        <f t="shared" si="10"/>
        <v>315986.16999999993</v>
      </c>
      <c r="O52" s="22"/>
      <c r="P52" s="22"/>
      <c r="Q52" s="22"/>
      <c r="R52" s="22"/>
      <c r="S52" s="22"/>
      <c r="T52" s="22"/>
      <c r="U52" s="22">
        <f>1169609.03-U32</f>
        <v>305595.19999999995</v>
      </c>
      <c r="V52" s="22">
        <f>1040441.86-V32</f>
        <v>176428.02999999991</v>
      </c>
      <c r="W52" s="22">
        <f>1040441.86-W32</f>
        <v>176428.02999999991</v>
      </c>
    </row>
    <row r="53" spans="1:23" ht="45">
      <c r="A53" s="30" t="s">
        <v>61</v>
      </c>
      <c r="B53" s="31" t="s">
        <v>62</v>
      </c>
      <c r="C53" s="30" t="s">
        <v>48</v>
      </c>
      <c r="D53" s="30" t="s">
        <v>86</v>
      </c>
      <c r="E53" s="30" t="s">
        <v>36</v>
      </c>
      <c r="F53" s="31" t="s">
        <v>87</v>
      </c>
      <c r="G53" s="30" t="s">
        <v>38</v>
      </c>
      <c r="H53" s="30" t="s">
        <v>65</v>
      </c>
      <c r="I53" s="31" t="s">
        <v>68</v>
      </c>
      <c r="J53" s="30" t="s">
        <v>78</v>
      </c>
      <c r="K53" s="22">
        <v>1700000</v>
      </c>
      <c r="L53" s="22">
        <v>0</v>
      </c>
      <c r="M53" s="22">
        <v>0</v>
      </c>
      <c r="N53" s="22">
        <f t="shared" si="10"/>
        <v>1700000</v>
      </c>
      <c r="O53" s="22"/>
      <c r="P53" s="22"/>
      <c r="Q53" s="22"/>
      <c r="R53" s="22"/>
      <c r="S53" s="22"/>
      <c r="T53" s="22"/>
      <c r="U53" s="22">
        <v>1562407.48</v>
      </c>
      <c r="V53" s="22">
        <v>1455596.32</v>
      </c>
      <c r="W53" s="22">
        <v>1455596.32</v>
      </c>
    </row>
    <row r="54" spans="1:23" ht="51" customHeight="1">
      <c r="A54" s="32" t="s">
        <v>61</v>
      </c>
      <c r="B54" s="31" t="s">
        <v>62</v>
      </c>
      <c r="C54" s="32" t="s">
        <v>48</v>
      </c>
      <c r="D54" s="32" t="s">
        <v>86</v>
      </c>
      <c r="E54" s="30" t="s">
        <v>36</v>
      </c>
      <c r="F54" s="31" t="s">
        <v>87</v>
      </c>
      <c r="G54" s="32" t="s">
        <v>38</v>
      </c>
      <c r="H54" s="32" t="s">
        <v>88</v>
      </c>
      <c r="I54" s="31" t="s">
        <v>89</v>
      </c>
      <c r="J54" s="32" t="s">
        <v>78</v>
      </c>
      <c r="K54" s="22">
        <v>0</v>
      </c>
      <c r="L54" s="22">
        <v>377864</v>
      </c>
      <c r="M54" s="22">
        <v>0</v>
      </c>
      <c r="N54" s="22">
        <f>K54+L54-M54</f>
        <v>377864</v>
      </c>
      <c r="O54" s="22"/>
      <c r="P54" s="22"/>
      <c r="Q54" s="22"/>
      <c r="R54" s="22"/>
      <c r="S54" s="22"/>
      <c r="T54" s="22"/>
      <c r="U54" s="22">
        <v>316430</v>
      </c>
      <c r="V54" s="22">
        <v>61390</v>
      </c>
      <c r="W54" s="22">
        <v>61390</v>
      </c>
    </row>
    <row r="55" spans="1:23" ht="49.5" customHeight="1">
      <c r="A55" s="32" t="s">
        <v>61</v>
      </c>
      <c r="B55" s="31" t="s">
        <v>62</v>
      </c>
      <c r="C55" s="32" t="s">
        <v>48</v>
      </c>
      <c r="D55" s="32" t="s">
        <v>86</v>
      </c>
      <c r="E55" s="30" t="s">
        <v>36</v>
      </c>
      <c r="F55" s="31" t="s">
        <v>87</v>
      </c>
      <c r="G55" s="32" t="s">
        <v>38</v>
      </c>
      <c r="H55" s="32" t="s">
        <v>90</v>
      </c>
      <c r="I55" s="31" t="s">
        <v>73</v>
      </c>
      <c r="J55" s="32" t="s">
        <v>78</v>
      </c>
      <c r="K55" s="22">
        <v>0</v>
      </c>
      <c r="L55" s="22">
        <v>250000</v>
      </c>
      <c r="M55" s="22">
        <v>0</v>
      </c>
      <c r="N55" s="22">
        <f>K55+L55-M55</f>
        <v>250000</v>
      </c>
      <c r="O55" s="22"/>
      <c r="P55" s="22"/>
      <c r="Q55" s="22"/>
      <c r="R55" s="22"/>
      <c r="S55" s="22"/>
      <c r="T55" s="22"/>
      <c r="U55" s="22">
        <v>198605.21</v>
      </c>
      <c r="V55" s="22">
        <v>0</v>
      </c>
      <c r="W55" s="22">
        <v>0</v>
      </c>
    </row>
    <row r="56" spans="1:23" ht="50.25" customHeight="1">
      <c r="A56" s="32" t="s">
        <v>61</v>
      </c>
      <c r="B56" s="31" t="s">
        <v>62</v>
      </c>
      <c r="C56" s="32" t="s">
        <v>34</v>
      </c>
      <c r="D56" s="32" t="s">
        <v>69</v>
      </c>
      <c r="E56" s="30" t="s">
        <v>36</v>
      </c>
      <c r="F56" s="31" t="s">
        <v>43</v>
      </c>
      <c r="G56" s="32" t="s">
        <v>38</v>
      </c>
      <c r="H56" s="32" t="s">
        <v>70</v>
      </c>
      <c r="I56" s="31" t="s">
        <v>64</v>
      </c>
      <c r="J56" s="32" t="s">
        <v>41</v>
      </c>
      <c r="K56" s="22">
        <v>0</v>
      </c>
      <c r="L56" s="22">
        <f>2060000-L27</f>
        <v>1112490.68</v>
      </c>
      <c r="M56" s="22">
        <v>0</v>
      </c>
      <c r="N56" s="22">
        <f>K56+L56-M56</f>
        <v>1112490.68</v>
      </c>
      <c r="O56" s="22"/>
      <c r="P56" s="22"/>
      <c r="Q56" s="22"/>
      <c r="R56" s="22">
        <f>2060000-R27</f>
        <v>1112490.68</v>
      </c>
      <c r="S56" s="22">
        <f>2060000-S27</f>
        <v>1112490.68</v>
      </c>
      <c r="T56" s="22">
        <f>2060000-T27</f>
        <v>1112490.68</v>
      </c>
      <c r="U56" s="22"/>
      <c r="V56" s="22"/>
      <c r="W56" s="22"/>
    </row>
    <row r="57" spans="1:23" ht="50.25" customHeight="1">
      <c r="A57" s="30" t="s">
        <v>61</v>
      </c>
      <c r="B57" s="31" t="s">
        <v>62</v>
      </c>
      <c r="C57" s="30" t="s">
        <v>34</v>
      </c>
      <c r="D57" s="30" t="s">
        <v>69</v>
      </c>
      <c r="E57" s="30" t="s">
        <v>36</v>
      </c>
      <c r="F57" s="31" t="s">
        <v>43</v>
      </c>
      <c r="G57" s="30" t="s">
        <v>38</v>
      </c>
      <c r="H57" s="30" t="s">
        <v>65</v>
      </c>
      <c r="I57" s="31" t="s">
        <v>68</v>
      </c>
      <c r="J57" s="30" t="s">
        <v>41</v>
      </c>
      <c r="K57" s="22">
        <f>4050900-K28</f>
        <v>1989613.23</v>
      </c>
      <c r="L57" s="22">
        <v>46700</v>
      </c>
      <c r="M57" s="22">
        <v>1500000</v>
      </c>
      <c r="N57" s="22">
        <f>K57+L57-M57</f>
        <v>536313.23</v>
      </c>
      <c r="O57" s="22"/>
      <c r="P57" s="22"/>
      <c r="Q57" s="22"/>
      <c r="R57" s="22">
        <f>2548977.09-R28</f>
        <v>487690.31999999983</v>
      </c>
      <c r="S57" s="22">
        <f>2484643.75-S28</f>
        <v>423356.98</v>
      </c>
      <c r="T57" s="22">
        <f>2484643.75-T28</f>
        <v>423356.98</v>
      </c>
      <c r="U57" s="22"/>
      <c r="V57" s="22"/>
      <c r="W57" s="22"/>
    </row>
    <row r="58" spans="1:23" ht="45">
      <c r="A58" s="30" t="s">
        <v>61</v>
      </c>
      <c r="B58" s="31" t="s">
        <v>62</v>
      </c>
      <c r="C58" s="30" t="s">
        <v>34</v>
      </c>
      <c r="D58" s="30" t="s">
        <v>69</v>
      </c>
      <c r="E58" s="30" t="s">
        <v>36</v>
      </c>
      <c r="F58" s="31" t="s">
        <v>43</v>
      </c>
      <c r="G58" s="30" t="s">
        <v>38</v>
      </c>
      <c r="H58" s="30" t="s">
        <v>65</v>
      </c>
      <c r="I58" s="31" t="s">
        <v>68</v>
      </c>
      <c r="J58" s="30" t="s">
        <v>78</v>
      </c>
      <c r="K58" s="22">
        <v>100000</v>
      </c>
      <c r="L58" s="22">
        <v>0</v>
      </c>
      <c r="M58" s="22">
        <v>46700</v>
      </c>
      <c r="N58" s="22">
        <f t="shared" si="10"/>
        <v>53300</v>
      </c>
      <c r="O58" s="22"/>
      <c r="P58" s="22"/>
      <c r="Q58" s="22"/>
      <c r="R58" s="22">
        <v>43017</v>
      </c>
      <c r="S58" s="22">
        <v>43017</v>
      </c>
      <c r="T58" s="22">
        <v>43017</v>
      </c>
      <c r="U58" s="22"/>
      <c r="V58" s="22"/>
      <c r="W58" s="22"/>
    </row>
    <row r="59" spans="1:23" ht="50.25" customHeight="1">
      <c r="A59" s="30" t="s">
        <v>61</v>
      </c>
      <c r="B59" s="31" t="s">
        <v>62</v>
      </c>
      <c r="C59" s="30" t="s">
        <v>52</v>
      </c>
      <c r="D59" s="30" t="s">
        <v>91</v>
      </c>
      <c r="E59" s="30" t="s">
        <v>36</v>
      </c>
      <c r="F59" s="31" t="s">
        <v>54</v>
      </c>
      <c r="G59" s="30" t="s">
        <v>38</v>
      </c>
      <c r="H59" s="30" t="s">
        <v>70</v>
      </c>
      <c r="I59" s="31" t="s">
        <v>64</v>
      </c>
      <c r="J59" s="30" t="s">
        <v>41</v>
      </c>
      <c r="K59" s="22">
        <v>1225000</v>
      </c>
      <c r="L59" s="22">
        <v>0</v>
      </c>
      <c r="M59" s="22">
        <v>674000</v>
      </c>
      <c r="N59" s="22">
        <f t="shared" si="10"/>
        <v>551000</v>
      </c>
      <c r="O59" s="22"/>
      <c r="P59" s="22"/>
      <c r="Q59" s="22"/>
      <c r="R59" s="22"/>
      <c r="S59" s="22"/>
      <c r="T59" s="22"/>
      <c r="U59" s="22">
        <v>400148.2</v>
      </c>
      <c r="V59" s="22">
        <v>383228.2</v>
      </c>
      <c r="W59" s="22">
        <v>383228.2</v>
      </c>
    </row>
    <row r="60" spans="1:23" ht="51.75" customHeight="1">
      <c r="A60" s="30" t="s">
        <v>61</v>
      </c>
      <c r="B60" s="31" t="s">
        <v>62</v>
      </c>
      <c r="C60" s="30" t="s">
        <v>52</v>
      </c>
      <c r="D60" s="30" t="s">
        <v>91</v>
      </c>
      <c r="E60" s="30" t="s">
        <v>36</v>
      </c>
      <c r="F60" s="31" t="s">
        <v>54</v>
      </c>
      <c r="G60" s="30" t="s">
        <v>38</v>
      </c>
      <c r="H60" s="30" t="s">
        <v>70</v>
      </c>
      <c r="I60" s="31" t="s">
        <v>64</v>
      </c>
      <c r="J60" s="30" t="s">
        <v>78</v>
      </c>
      <c r="K60" s="22">
        <v>410000</v>
      </c>
      <c r="L60" s="22">
        <v>100000</v>
      </c>
      <c r="M60" s="22">
        <v>62000</v>
      </c>
      <c r="N60" s="22">
        <f t="shared" si="10"/>
        <v>448000</v>
      </c>
      <c r="O60" s="22"/>
      <c r="P60" s="22"/>
      <c r="Q60" s="22"/>
      <c r="R60" s="22"/>
      <c r="S60" s="22"/>
      <c r="T60" s="22"/>
      <c r="U60" s="22">
        <v>447719.21</v>
      </c>
      <c r="V60" s="22">
        <v>384485.97</v>
      </c>
      <c r="W60" s="22">
        <v>384485.97</v>
      </c>
    </row>
    <row r="61" spans="1:23" ht="56.25">
      <c r="A61" s="30" t="s">
        <v>61</v>
      </c>
      <c r="B61" s="31" t="s">
        <v>62</v>
      </c>
      <c r="C61" s="30" t="s">
        <v>92</v>
      </c>
      <c r="D61" s="30" t="s">
        <v>93</v>
      </c>
      <c r="E61" s="30" t="s">
        <v>36</v>
      </c>
      <c r="F61" s="31" t="s">
        <v>94</v>
      </c>
      <c r="G61" s="30" t="s">
        <v>38</v>
      </c>
      <c r="H61" s="30" t="s">
        <v>70</v>
      </c>
      <c r="I61" s="31" t="s">
        <v>64</v>
      </c>
      <c r="J61" s="30" t="s">
        <v>41</v>
      </c>
      <c r="K61" s="22">
        <v>682800</v>
      </c>
      <c r="L61" s="22">
        <v>130000</v>
      </c>
      <c r="M61" s="22">
        <v>290000</v>
      </c>
      <c r="N61" s="22">
        <f t="shared" si="10"/>
        <v>522800</v>
      </c>
      <c r="O61" s="22"/>
      <c r="P61" s="22"/>
      <c r="Q61" s="22"/>
      <c r="R61" s="22"/>
      <c r="S61" s="22"/>
      <c r="T61" s="22"/>
      <c r="U61" s="22">
        <v>508938.91</v>
      </c>
      <c r="V61" s="22">
        <v>389784.98</v>
      </c>
      <c r="W61" s="22">
        <v>389784.98</v>
      </c>
    </row>
    <row r="62" spans="1:23" ht="66" customHeight="1">
      <c r="A62" s="30" t="s">
        <v>61</v>
      </c>
      <c r="B62" s="31" t="s">
        <v>62</v>
      </c>
      <c r="C62" s="30" t="s">
        <v>92</v>
      </c>
      <c r="D62" s="30" t="s">
        <v>93</v>
      </c>
      <c r="E62" s="30" t="s">
        <v>36</v>
      </c>
      <c r="F62" s="31" t="s">
        <v>94</v>
      </c>
      <c r="G62" s="30" t="s">
        <v>38</v>
      </c>
      <c r="H62" s="30" t="s">
        <v>70</v>
      </c>
      <c r="I62" s="31" t="s">
        <v>64</v>
      </c>
      <c r="J62" s="30" t="s">
        <v>78</v>
      </c>
      <c r="K62" s="22">
        <v>70000</v>
      </c>
      <c r="L62" s="22"/>
      <c r="M62" s="22">
        <v>70000</v>
      </c>
      <c r="N62" s="22">
        <f t="shared" si="10"/>
        <v>0</v>
      </c>
      <c r="O62" s="22"/>
      <c r="P62" s="22"/>
      <c r="Q62" s="22"/>
      <c r="R62" s="22"/>
      <c r="S62" s="22"/>
      <c r="T62" s="22"/>
      <c r="U62" s="22">
        <v>0</v>
      </c>
      <c r="V62" s="22">
        <v>0</v>
      </c>
      <c r="W62" s="22">
        <v>0</v>
      </c>
    </row>
    <row r="63" spans="1:23" ht="66" customHeight="1">
      <c r="A63" s="30" t="s">
        <v>61</v>
      </c>
      <c r="B63" s="31" t="s">
        <v>62</v>
      </c>
      <c r="C63" s="30" t="s">
        <v>92</v>
      </c>
      <c r="D63" s="30" t="s">
        <v>93</v>
      </c>
      <c r="E63" s="30" t="s">
        <v>36</v>
      </c>
      <c r="F63" s="31" t="s">
        <v>94</v>
      </c>
      <c r="G63" s="30" t="s">
        <v>38</v>
      </c>
      <c r="H63" s="30" t="s">
        <v>65</v>
      </c>
      <c r="I63" s="31" t="s">
        <v>68</v>
      </c>
      <c r="J63" s="30" t="s">
        <v>41</v>
      </c>
      <c r="K63" s="22">
        <v>3197180</v>
      </c>
      <c r="L63" s="22">
        <v>2314100</v>
      </c>
      <c r="M63" s="22">
        <v>889905</v>
      </c>
      <c r="N63" s="22">
        <f t="shared" si="10"/>
        <v>4621375</v>
      </c>
      <c r="O63" s="22"/>
      <c r="P63" s="22"/>
      <c r="Q63" s="22"/>
      <c r="R63" s="22"/>
      <c r="S63" s="22"/>
      <c r="T63" s="22"/>
      <c r="U63" s="22">
        <v>4599975.53</v>
      </c>
      <c r="V63" s="22">
        <v>2156060.02</v>
      </c>
      <c r="W63" s="22">
        <v>2156060.02</v>
      </c>
    </row>
    <row r="64" spans="1:23" ht="61.5" customHeight="1">
      <c r="A64" s="30" t="s">
        <v>61</v>
      </c>
      <c r="B64" s="31" t="s">
        <v>62</v>
      </c>
      <c r="C64" s="30" t="s">
        <v>92</v>
      </c>
      <c r="D64" s="30" t="s">
        <v>93</v>
      </c>
      <c r="E64" s="30" t="s">
        <v>36</v>
      </c>
      <c r="F64" s="31" t="s">
        <v>94</v>
      </c>
      <c r="G64" s="30" t="s">
        <v>38</v>
      </c>
      <c r="H64" s="32">
        <v>1760</v>
      </c>
      <c r="I64" s="31" t="s">
        <v>68</v>
      </c>
      <c r="J64" s="30" t="s">
        <v>78</v>
      </c>
      <c r="K64" s="22">
        <v>2050000</v>
      </c>
      <c r="L64" s="22">
        <v>889905</v>
      </c>
      <c r="M64" s="22">
        <v>1643300</v>
      </c>
      <c r="N64" s="22">
        <f t="shared" si="10"/>
        <v>1296605</v>
      </c>
      <c r="O64" s="22"/>
      <c r="P64" s="22"/>
      <c r="Q64" s="22"/>
      <c r="R64" s="22"/>
      <c r="S64" s="22"/>
      <c r="T64" s="22"/>
      <c r="U64" s="22">
        <v>1296395</v>
      </c>
      <c r="V64" s="22">
        <v>356700</v>
      </c>
      <c r="W64" s="22">
        <v>356700</v>
      </c>
    </row>
    <row r="65" spans="1:23" ht="59.25" customHeight="1">
      <c r="A65" s="32" t="s">
        <v>61</v>
      </c>
      <c r="B65" s="31" t="s">
        <v>62</v>
      </c>
      <c r="C65" s="32" t="s">
        <v>92</v>
      </c>
      <c r="D65" s="32" t="s">
        <v>93</v>
      </c>
      <c r="E65" s="30" t="s">
        <v>36</v>
      </c>
      <c r="F65" s="31" t="s">
        <v>94</v>
      </c>
      <c r="G65" s="32" t="s">
        <v>38</v>
      </c>
      <c r="H65" s="32" t="s">
        <v>90</v>
      </c>
      <c r="I65" s="31" t="s">
        <v>64</v>
      </c>
      <c r="J65" s="32" t="s">
        <v>78</v>
      </c>
      <c r="K65" s="22">
        <v>0</v>
      </c>
      <c r="L65" s="22">
        <v>2497351</v>
      </c>
      <c r="M65" s="22">
        <v>0</v>
      </c>
      <c r="N65" s="22">
        <f t="shared" si="10"/>
        <v>2497351</v>
      </c>
      <c r="O65" s="22"/>
      <c r="P65" s="22"/>
      <c r="Q65" s="22"/>
      <c r="R65" s="22"/>
      <c r="S65" s="22"/>
      <c r="T65" s="22"/>
      <c r="U65" s="22">
        <v>2491382</v>
      </c>
      <c r="V65" s="22">
        <v>0</v>
      </c>
      <c r="W65" s="22">
        <v>0</v>
      </c>
    </row>
    <row r="66" spans="1:23" ht="50.25" customHeight="1">
      <c r="A66" s="30" t="s">
        <v>61</v>
      </c>
      <c r="B66" s="31" t="s">
        <v>62</v>
      </c>
      <c r="C66" s="30" t="s">
        <v>92</v>
      </c>
      <c r="D66" s="30" t="s">
        <v>95</v>
      </c>
      <c r="E66" s="30" t="s">
        <v>36</v>
      </c>
      <c r="F66" s="31" t="s">
        <v>96</v>
      </c>
      <c r="G66" s="30" t="s">
        <v>38</v>
      </c>
      <c r="H66" s="30" t="s">
        <v>70</v>
      </c>
      <c r="I66" s="31" t="s">
        <v>64</v>
      </c>
      <c r="J66" s="30" t="s">
        <v>41</v>
      </c>
      <c r="K66" s="22">
        <v>402500</v>
      </c>
      <c r="L66" s="22">
        <v>0</v>
      </c>
      <c r="M66" s="22">
        <v>60000</v>
      </c>
      <c r="N66" s="22">
        <f t="shared" si="10"/>
        <v>342500</v>
      </c>
      <c r="O66" s="22"/>
      <c r="P66" s="22"/>
      <c r="Q66" s="22"/>
      <c r="R66" s="22"/>
      <c r="S66" s="22"/>
      <c r="T66" s="22"/>
      <c r="U66" s="22">
        <v>338961.49</v>
      </c>
      <c r="V66" s="22">
        <v>266986.34999999998</v>
      </c>
      <c r="W66" s="22">
        <v>266986.34999999998</v>
      </c>
    </row>
    <row r="67" spans="1:23" ht="54.75" customHeight="1">
      <c r="A67" s="30" t="s">
        <v>61</v>
      </c>
      <c r="B67" s="31" t="s">
        <v>62</v>
      </c>
      <c r="C67" s="30" t="s">
        <v>92</v>
      </c>
      <c r="D67" s="30" t="s">
        <v>95</v>
      </c>
      <c r="E67" s="30" t="s">
        <v>36</v>
      </c>
      <c r="F67" s="31" t="s">
        <v>96</v>
      </c>
      <c r="G67" s="30" t="s">
        <v>38</v>
      </c>
      <c r="H67" s="30" t="s">
        <v>65</v>
      </c>
      <c r="I67" s="31" t="s">
        <v>68</v>
      </c>
      <c r="J67" s="30" t="s">
        <v>41</v>
      </c>
      <c r="K67" s="22">
        <v>7002500</v>
      </c>
      <c r="L67" s="22">
        <v>1200000</v>
      </c>
      <c r="M67" s="22">
        <v>427600</v>
      </c>
      <c r="N67" s="22">
        <f t="shared" si="10"/>
        <v>7774900</v>
      </c>
      <c r="O67" s="22"/>
      <c r="P67" s="22"/>
      <c r="Q67" s="22"/>
      <c r="R67" s="22"/>
      <c r="S67" s="22"/>
      <c r="T67" s="22"/>
      <c r="U67" s="22">
        <v>7437113.0700000003</v>
      </c>
      <c r="V67" s="22">
        <v>6399277.6699999999</v>
      </c>
      <c r="W67" s="22">
        <v>6399277.6699999999</v>
      </c>
    </row>
    <row r="68" spans="1:23" ht="53.25" customHeight="1">
      <c r="A68" s="30" t="s">
        <v>61</v>
      </c>
      <c r="B68" s="31" t="s">
        <v>62</v>
      </c>
      <c r="C68" s="30" t="s">
        <v>92</v>
      </c>
      <c r="D68" s="30" t="s">
        <v>95</v>
      </c>
      <c r="E68" s="30" t="s">
        <v>36</v>
      </c>
      <c r="F68" s="31" t="s">
        <v>96</v>
      </c>
      <c r="G68" s="30" t="s">
        <v>38</v>
      </c>
      <c r="H68" s="30" t="s">
        <v>65</v>
      </c>
      <c r="I68" s="31" t="s">
        <v>68</v>
      </c>
      <c r="J68" s="30" t="s">
        <v>78</v>
      </c>
      <c r="K68" s="22">
        <v>395000</v>
      </c>
      <c r="L68" s="22">
        <v>815500</v>
      </c>
      <c r="M68" s="22">
        <v>395000</v>
      </c>
      <c r="N68" s="22">
        <f t="shared" si="10"/>
        <v>815500</v>
      </c>
      <c r="O68" s="22"/>
      <c r="P68" s="22"/>
      <c r="Q68" s="22"/>
      <c r="R68" s="22"/>
      <c r="S68" s="22"/>
      <c r="T68" s="22"/>
      <c r="U68" s="22">
        <v>815500</v>
      </c>
      <c r="V68" s="22">
        <v>815500</v>
      </c>
      <c r="W68" s="22">
        <v>815500</v>
      </c>
    </row>
    <row r="69" spans="1:23" ht="56.25" customHeight="1">
      <c r="A69" s="30" t="s">
        <v>61</v>
      </c>
      <c r="B69" s="31" t="s">
        <v>62</v>
      </c>
      <c r="C69" s="30" t="s">
        <v>92</v>
      </c>
      <c r="D69" s="30" t="s">
        <v>97</v>
      </c>
      <c r="E69" s="30" t="s">
        <v>36</v>
      </c>
      <c r="F69" s="31" t="s">
        <v>98</v>
      </c>
      <c r="G69" s="30" t="s">
        <v>38</v>
      </c>
      <c r="H69" s="30" t="s">
        <v>65</v>
      </c>
      <c r="I69" s="31" t="s">
        <v>68</v>
      </c>
      <c r="J69" s="30" t="s">
        <v>41</v>
      </c>
      <c r="K69" s="22">
        <v>1758200</v>
      </c>
      <c r="L69" s="22">
        <v>105000</v>
      </c>
      <c r="M69" s="22">
        <v>300000</v>
      </c>
      <c r="N69" s="22">
        <f t="shared" si="10"/>
        <v>1563200</v>
      </c>
      <c r="O69" s="22"/>
      <c r="P69" s="22"/>
      <c r="Q69" s="22"/>
      <c r="R69" s="22"/>
      <c r="S69" s="22"/>
      <c r="T69" s="22"/>
      <c r="U69" s="22">
        <v>1534623.2</v>
      </c>
      <c r="V69" s="22">
        <v>1415435.45</v>
      </c>
      <c r="W69" s="22">
        <v>1316075.02</v>
      </c>
    </row>
    <row r="70" spans="1:23" ht="54" customHeight="1">
      <c r="A70" s="30" t="s">
        <v>61</v>
      </c>
      <c r="B70" s="31" t="s">
        <v>62</v>
      </c>
      <c r="C70" s="30" t="s">
        <v>92</v>
      </c>
      <c r="D70" s="30" t="s">
        <v>97</v>
      </c>
      <c r="E70" s="30" t="s">
        <v>36</v>
      </c>
      <c r="F70" s="31" t="s">
        <v>98</v>
      </c>
      <c r="G70" s="30" t="s">
        <v>38</v>
      </c>
      <c r="H70" s="30" t="s">
        <v>65</v>
      </c>
      <c r="I70" s="31" t="s">
        <v>68</v>
      </c>
      <c r="J70" s="30" t="s">
        <v>78</v>
      </c>
      <c r="K70" s="22">
        <v>880000</v>
      </c>
      <c r="L70" s="22">
        <v>0</v>
      </c>
      <c r="M70" s="22">
        <v>880000</v>
      </c>
      <c r="N70" s="22">
        <f t="shared" si="10"/>
        <v>0</v>
      </c>
      <c r="O70" s="22"/>
      <c r="P70" s="22"/>
      <c r="Q70" s="22"/>
      <c r="R70" s="22"/>
      <c r="S70" s="22"/>
      <c r="T70" s="22"/>
      <c r="U70" s="22">
        <v>0</v>
      </c>
      <c r="V70" s="22">
        <v>0</v>
      </c>
      <c r="W70" s="22">
        <v>0</v>
      </c>
    </row>
    <row r="71" spans="1:23" ht="15" customHeight="1">
      <c r="A71" s="41" t="s">
        <v>99</v>
      </c>
      <c r="B71" s="41"/>
      <c r="C71" s="41"/>
      <c r="D71" s="41"/>
      <c r="E71" s="41"/>
      <c r="F71" s="41"/>
      <c r="G71" s="5"/>
      <c r="H71" s="5"/>
      <c r="I71" s="5"/>
      <c r="J71" s="5"/>
      <c r="K71" s="15">
        <f t="shared" ref="K71:W71" si="11">SUM(K37:K70)</f>
        <v>84168222.299999997</v>
      </c>
      <c r="L71" s="15">
        <f t="shared" si="11"/>
        <v>76061209.940000013</v>
      </c>
      <c r="M71" s="15">
        <f t="shared" si="11"/>
        <v>8896705</v>
      </c>
      <c r="N71" s="15">
        <f t="shared" si="11"/>
        <v>151332727.24000001</v>
      </c>
      <c r="O71" s="15">
        <f t="shared" si="11"/>
        <v>43061110.530000001</v>
      </c>
      <c r="P71" s="15">
        <f t="shared" si="11"/>
        <v>39188417.570000008</v>
      </c>
      <c r="Q71" s="15">
        <f t="shared" si="11"/>
        <v>39180842.610000007</v>
      </c>
      <c r="R71" s="15">
        <f t="shared" si="11"/>
        <v>2067290.1400000004</v>
      </c>
      <c r="S71" s="15">
        <f t="shared" si="11"/>
        <v>2002956.8000000005</v>
      </c>
      <c r="T71" s="15">
        <f t="shared" si="11"/>
        <v>2002956.8000000005</v>
      </c>
      <c r="U71" s="15">
        <f t="shared" si="11"/>
        <v>55038683.580000006</v>
      </c>
      <c r="V71" s="15">
        <f t="shared" si="11"/>
        <v>42005600.590000004</v>
      </c>
      <c r="W71" s="15">
        <f t="shared" si="11"/>
        <v>41906240.160000004</v>
      </c>
    </row>
    <row r="72" spans="1:23" ht="18.75">
      <c r="A72" s="42" t="s">
        <v>100</v>
      </c>
      <c r="B72" s="43"/>
      <c r="C72" s="43"/>
      <c r="D72" s="43"/>
      <c r="E72" s="43"/>
      <c r="F72" s="43"/>
      <c r="G72" s="43"/>
      <c r="H72" s="43"/>
      <c r="I72" s="43"/>
      <c r="J72" s="44"/>
      <c r="K72" s="15">
        <f t="shared" ref="K72:W72" si="12">K35+K71</f>
        <v>897860279.99999988</v>
      </c>
      <c r="L72" s="15">
        <f t="shared" si="12"/>
        <v>235757688</v>
      </c>
      <c r="M72" s="15">
        <f t="shared" si="12"/>
        <v>66592909</v>
      </c>
      <c r="N72" s="15">
        <f t="shared" si="12"/>
        <v>1067025059</v>
      </c>
      <c r="O72" s="15">
        <f t="shared" si="12"/>
        <v>601580743.79999995</v>
      </c>
      <c r="P72" s="15">
        <f t="shared" si="12"/>
        <v>597708050.84000003</v>
      </c>
      <c r="Q72" s="15">
        <f t="shared" si="12"/>
        <v>597453902.09000003</v>
      </c>
      <c r="R72" s="15">
        <f t="shared" si="12"/>
        <v>111269287.09999999</v>
      </c>
      <c r="S72" s="15">
        <f t="shared" si="12"/>
        <v>111204953.75999999</v>
      </c>
      <c r="T72" s="15">
        <f t="shared" si="12"/>
        <v>111155616.08</v>
      </c>
      <c r="U72" s="15">
        <f t="shared" si="12"/>
        <v>295368191.77999997</v>
      </c>
      <c r="V72" s="15">
        <f t="shared" si="12"/>
        <v>282335108.78999996</v>
      </c>
      <c r="W72" s="15">
        <f t="shared" si="12"/>
        <v>282050715.30000001</v>
      </c>
    </row>
    <row r="73" spans="1:23" ht="20.25" customHeight="1">
      <c r="A73" s="45" t="s">
        <v>101</v>
      </c>
      <c r="B73" s="46"/>
      <c r="C73" s="46"/>
      <c r="D73" s="46"/>
      <c r="E73" s="46"/>
      <c r="F73" s="46"/>
      <c r="G73" s="46"/>
      <c r="H73" s="46"/>
      <c r="I73" s="46"/>
      <c r="J73" s="47"/>
      <c r="K73" s="7"/>
      <c r="L73" s="7"/>
      <c r="M73" s="7"/>
      <c r="N73" s="7"/>
      <c r="O73" s="7"/>
      <c r="P73" s="7"/>
      <c r="Q73" s="7"/>
      <c r="R73" s="6"/>
      <c r="S73" s="6"/>
      <c r="T73" s="6"/>
      <c r="U73" s="6"/>
      <c r="V73" s="6"/>
      <c r="W73" s="6"/>
    </row>
    <row r="74" spans="1:23">
      <c r="K74" s="8"/>
      <c r="L74" s="8"/>
      <c r="O74" s="9"/>
      <c r="P74" s="9"/>
      <c r="Q74" s="10"/>
    </row>
    <row r="75" spans="1:23">
      <c r="I75" s="3"/>
      <c r="L75" s="8"/>
      <c r="O75" s="9"/>
      <c r="P75" s="9"/>
      <c r="Q75" s="11"/>
    </row>
    <row r="76" spans="1:23">
      <c r="I76" s="12"/>
      <c r="L76" s="13"/>
      <c r="N76" s="34"/>
      <c r="O76" s="9"/>
      <c r="P76" s="9"/>
      <c r="Q76" s="10"/>
    </row>
    <row r="77" spans="1:23">
      <c r="N77" s="34"/>
    </row>
    <row r="78" spans="1:23">
      <c r="N78" s="34"/>
    </row>
  </sheetData>
  <mergeCells count="23">
    <mergeCell ref="A36:W36"/>
    <mergeCell ref="A71:F71"/>
    <mergeCell ref="A72:J72"/>
    <mergeCell ref="A73:J73"/>
    <mergeCell ref="J7:J8"/>
    <mergeCell ref="O7:Q7"/>
    <mergeCell ref="R7:T7"/>
    <mergeCell ref="U7:W7"/>
    <mergeCell ref="A9:W9"/>
    <mergeCell ref="G7:G8"/>
    <mergeCell ref="H7:I7"/>
    <mergeCell ref="A35:F35"/>
    <mergeCell ref="A7:B7"/>
    <mergeCell ref="C7:C8"/>
    <mergeCell ref="D7:D8"/>
    <mergeCell ref="E7:F7"/>
    <mergeCell ref="A2:W2"/>
    <mergeCell ref="A3:W3"/>
    <mergeCell ref="A4:W4"/>
    <mergeCell ref="A5:W5"/>
    <mergeCell ref="A6:J6"/>
    <mergeCell ref="K6:N6"/>
    <mergeCell ref="O6:W6"/>
  </mergeCells>
  <pageMargins left="0.51181102362204722" right="0.51181102362204722" top="0.78740157480314965" bottom="0.78740157480314965" header="0.31496062992125984" footer="0.31496062992125984"/>
  <pageSetup paperSize="9" scale="54" fitToHeight="0" orientation="landscape" verticalDpi="0" r:id="rId1"/>
  <ignoredErrors>
    <ignoredError sqref="A10:A23 C10:D11 G10:H10 J10:J13 G11:H11 C14:C23 D14:D21 C12:C13 D12:D13 A24:A29 C24:D28 G26:H28 G24:H24 J21:J24 J26:J31 J34 G34:H34 C34:D34 A30:A34 G33 G30:H31 C29:D33 G19:H22 G14:G16 H13:H16 H18 J14:J16 J18:J20 G12:H12 A64:A70 C70:D70 G70:H70 J64:J70 G69:H69 C68:D69 G67:H68 C66:D67 G65:H66 C65:D65 D22:D23 A37:A63 C37:D37 G37:H37 J37:J48 C38:D38 G38:H38 C39:D40 G39:H39 C41:D41 G40:H41 C42:D42 G42:H42 C43:D43 G43:H43 C44:D44 G44:H44 C45:D45 G45:H45 C46:D46 G46:H46 C47:D47 G47:H47 C48:D48 G48:H48 C49:D50 G50:H50 J50:J63 C51:D51 G51:H51 G52:G64 C52:C64 D52:D64 H53:H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MDEO ANUAL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Paula Gomes Barreto Cajazeira</dc:creator>
  <cp:lastModifiedBy>Gabriela Andrade Secundo</cp:lastModifiedBy>
  <cp:lastPrinted>2026-01-21T14:43:33Z</cp:lastPrinted>
  <dcterms:created xsi:type="dcterms:W3CDTF">2026-01-20T15:38:13Z</dcterms:created>
  <dcterms:modified xsi:type="dcterms:W3CDTF">2026-01-23T14:08:20Z</dcterms:modified>
</cp:coreProperties>
</file>