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NO 2027\01 - ORÇAMENTO 2027\"/>
    </mc:Choice>
  </mc:AlternateContent>
  <xr:revisionPtr revIDLastSave="0" documentId="8_{84F50636-593B-4C33-A9CE-4250C738B06F}" xr6:coauthVersionLast="47" xr6:coauthVersionMax="47" xr10:uidLastSave="{00000000-0000-0000-0000-000000000000}"/>
  <bookViews>
    <workbookView xWindow="0" yWindow="0" windowWidth="25065" windowHeight="12210" tabRatio="500" firstSheet="10" activeTab="10" xr2:uid="{00000000-000D-0000-FFFF-FFFF00000000}"/>
  </bookViews>
  <sheets>
    <sheet name="RESUMO - DIFIN" sheetId="11" r:id="rId1"/>
    <sheet name="Elementação FERD 2027" sheetId="1" r:id="rId2"/>
    <sheet name="ElementaçãoTesouro 2027" sheetId="3" r:id="rId3"/>
    <sheet name="AÇÕES ORÇAMENTÁRIAS DO FERD" sheetId="2" r:id="rId4"/>
    <sheet name="AÇÕES ORÇAMENTÁRIAS DO TESOURO" sheetId="4" r:id="rId5"/>
    <sheet name="PROPOSTA ORÇAMENTÁRIA" sheetId="6" r:id="rId6"/>
    <sheet name="ANEXO ÚNICO DESPESA POR FUNÇÃO" sheetId="7" r:id="rId7"/>
    <sheet name="DEMONST. DAS DESPESAS POR GRUPO" sheetId="8" r:id="rId8"/>
    <sheet name="PROPOSTA DA RECEITA" sheetId="10" r:id="rId9"/>
    <sheet name="ESPECIFICAÇÃO DA RECEITA " sheetId="9" r:id="rId10"/>
    <sheet name="Resolução 195 - QDD" sheetId="5" r:id="rId11"/>
  </sheets>
  <definedNames>
    <definedName name="_xlnm.Print_Area" localSheetId="3">'AÇÕES ORÇAMENTÁRIAS DO FERD'!$A$1:$B$43</definedName>
    <definedName name="_xlnm.Print_Area" localSheetId="6">'ANEXO ÚNICO DESPESA POR FUNÇÃO'!$B$6:$I$60</definedName>
    <definedName name="_xlnm.Print_Area" localSheetId="2">'ElementaçãoTesouro 2027'!$A$1:$I$205</definedName>
    <definedName name="_xlnm.Print_Area" localSheetId="10">'Resolução 195 - QDD'!$B$1:$O$71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50" i="1" l="1"/>
  <c r="L66" i="5"/>
  <c r="O66" i="5" s="1"/>
  <c r="L65" i="5"/>
  <c r="O65" i="5" s="1"/>
  <c r="L64" i="5"/>
  <c r="O64" i="5" s="1"/>
  <c r="L63" i="5"/>
  <c r="O63" i="5" s="1"/>
  <c r="N59" i="5"/>
  <c r="O59" i="5" s="1"/>
  <c r="N58" i="5"/>
  <c r="O58" i="5" s="1"/>
  <c r="N57" i="5"/>
  <c r="O57" i="5" s="1"/>
  <c r="D13" i="6"/>
  <c r="N23" i="5"/>
  <c r="N22" i="5"/>
  <c r="M21" i="5"/>
  <c r="L20" i="5"/>
  <c r="N16" i="5"/>
  <c r="N29" i="5"/>
  <c r="M14" i="5"/>
  <c r="L12" i="5"/>
  <c r="D15" i="8"/>
  <c r="D14" i="8"/>
  <c r="L40" i="7"/>
  <c r="D13" i="8"/>
  <c r="I205" i="3"/>
  <c r="I204" i="3"/>
  <c r="I201" i="3"/>
  <c r="G145" i="3"/>
  <c r="F87" i="3"/>
  <c r="F33" i="3"/>
  <c r="F12" i="3"/>
  <c r="F125" i="1"/>
  <c r="F132" i="1"/>
  <c r="I57" i="7"/>
  <c r="I53" i="7"/>
  <c r="I55" i="7"/>
  <c r="I54" i="7"/>
  <c r="F25" i="9"/>
  <c r="F24" i="9"/>
  <c r="F23" i="9"/>
  <c r="F22" i="9"/>
  <c r="D25" i="9"/>
  <c r="D24" i="9"/>
  <c r="D23" i="9"/>
  <c r="I33" i="7"/>
  <c r="I32" i="7"/>
  <c r="I31" i="7"/>
  <c r="I30" i="7"/>
  <c r="B11" i="10"/>
  <c r="F255" i="1"/>
  <c r="C35" i="6"/>
  <c r="C19" i="6"/>
  <c r="C18" i="6"/>
  <c r="C17" i="6"/>
  <c r="C23" i="2"/>
  <c r="D35" i="6"/>
  <c r="D33" i="6"/>
  <c r="D32" i="6"/>
  <c r="D23" i="6"/>
  <c r="D22" i="6"/>
  <c r="D20" i="6"/>
  <c r="D21" i="6"/>
  <c r="C16" i="2"/>
  <c r="C14" i="2"/>
  <c r="C12" i="2"/>
  <c r="B23" i="6"/>
  <c r="B22" i="6"/>
  <c r="B21" i="6"/>
  <c r="B20" i="6"/>
  <c r="K2" i="1"/>
  <c r="L27" i="1"/>
  <c r="C22" i="4"/>
  <c r="C21" i="4"/>
  <c r="C20" i="4"/>
  <c r="C19" i="4"/>
  <c r="F130" i="1"/>
  <c r="E133" i="1"/>
  <c r="E130" i="1" s="1"/>
  <c r="F228" i="1"/>
  <c r="F230" i="1"/>
  <c r="F178" i="1"/>
  <c r="F20" i="1"/>
  <c r="F137" i="1"/>
  <c r="G137" i="1"/>
  <c r="F134" i="1"/>
  <c r="D135" i="1"/>
  <c r="F169" i="1"/>
  <c r="J169" i="1" s="1"/>
  <c r="E257" i="1"/>
  <c r="E254" i="1"/>
  <c r="E255" i="1"/>
  <c r="E178" i="1"/>
  <c r="L28" i="1"/>
  <c r="F68" i="1"/>
  <c r="E68" i="1"/>
  <c r="F71" i="1"/>
  <c r="F54" i="1"/>
  <c r="F86" i="1"/>
  <c r="F213" i="1"/>
  <c r="L10" i="1"/>
  <c r="F48" i="1"/>
  <c r="F207" i="1"/>
  <c r="F82" i="1"/>
  <c r="L9" i="1"/>
  <c r="L30" i="1"/>
  <c r="F174" i="1"/>
  <c r="E174" i="1" s="1"/>
  <c r="F16" i="1"/>
  <c r="E16" i="1" s="1"/>
  <c r="L7" i="1"/>
  <c r="F144" i="1"/>
  <c r="E145" i="1"/>
  <c r="E146" i="1"/>
  <c r="G131" i="3"/>
  <c r="F131" i="3"/>
  <c r="G107" i="3"/>
  <c r="G49" i="3"/>
  <c r="G28" i="3"/>
  <c r="G194" i="3"/>
  <c r="G192" i="3" s="1"/>
  <c r="E194" i="3"/>
  <c r="D194" i="3"/>
  <c r="F193" i="3"/>
  <c r="F194" i="3" s="1"/>
  <c r="F192" i="3" s="1"/>
  <c r="A193" i="3"/>
  <c r="G188" i="3"/>
  <c r="G186" i="3" s="1"/>
  <c r="E188" i="3"/>
  <c r="D188" i="3"/>
  <c r="F187" i="3"/>
  <c r="F188" i="3" s="1"/>
  <c r="F186" i="3" s="1"/>
  <c r="A187" i="3"/>
  <c r="G182" i="3"/>
  <c r="G180" i="3" s="1"/>
  <c r="E182" i="3"/>
  <c r="D182" i="3"/>
  <c r="F181" i="3"/>
  <c r="F182" i="3" s="1"/>
  <c r="F180" i="3" s="1"/>
  <c r="A181" i="3"/>
  <c r="F175" i="3"/>
  <c r="G176" i="3"/>
  <c r="G174" i="3" s="1"/>
  <c r="E176" i="3"/>
  <c r="D176" i="3"/>
  <c r="F176" i="3"/>
  <c r="F174" i="3" s="1"/>
  <c r="A175" i="3"/>
  <c r="E170" i="3"/>
  <c r="D170" i="3"/>
  <c r="F169" i="3"/>
  <c r="E169" i="3"/>
  <c r="F168" i="3"/>
  <c r="G167" i="3"/>
  <c r="G170" i="3" s="1"/>
  <c r="G163" i="3" s="1"/>
  <c r="C18" i="4" s="1"/>
  <c r="B19" i="6" s="1"/>
  <c r="F167" i="3"/>
  <c r="F166" i="3"/>
  <c r="F165" i="3"/>
  <c r="F164" i="3"/>
  <c r="F170" i="3" s="1"/>
  <c r="F163" i="3" s="1"/>
  <c r="A164" i="3"/>
  <c r="E163" i="3"/>
  <c r="E159" i="3"/>
  <c r="D159" i="3"/>
  <c r="F158" i="3"/>
  <c r="E158" i="3"/>
  <c r="F157" i="3"/>
  <c r="G156" i="3"/>
  <c r="G159" i="3" s="1"/>
  <c r="G152" i="3" s="1"/>
  <c r="C17" i="4" s="1"/>
  <c r="B18" i="6" s="1"/>
  <c r="F156" i="3"/>
  <c r="F155" i="3"/>
  <c r="F154" i="3"/>
  <c r="F153" i="3"/>
  <c r="F159" i="3" s="1"/>
  <c r="F152" i="3" s="1"/>
  <c r="A153" i="3"/>
  <c r="E152" i="3"/>
  <c r="F147" i="3"/>
  <c r="F146" i="3"/>
  <c r="F144" i="3"/>
  <c r="F143" i="3"/>
  <c r="F142" i="3"/>
  <c r="E148" i="3"/>
  <c r="D148" i="3"/>
  <c r="E147" i="3"/>
  <c r="E141" i="3"/>
  <c r="E140" i="3"/>
  <c r="F104" i="3"/>
  <c r="F102" i="3"/>
  <c r="F101" i="3"/>
  <c r="F100" i="3"/>
  <c r="F99" i="3"/>
  <c r="F98" i="3"/>
  <c r="F97" i="3"/>
  <c r="F94" i="3"/>
  <c r="F92" i="3"/>
  <c r="F91" i="3"/>
  <c r="F90" i="3"/>
  <c r="F89" i="3"/>
  <c r="F88" i="3"/>
  <c r="F68" i="3"/>
  <c r="F66" i="3"/>
  <c r="F190" i="1"/>
  <c r="F175" i="1"/>
  <c r="E175" i="1" s="1"/>
  <c r="F183" i="1"/>
  <c r="J168" i="1" s="1"/>
  <c r="F46" i="3"/>
  <c r="F45" i="3"/>
  <c r="F43" i="3"/>
  <c r="F282" i="1"/>
  <c r="F285" i="1"/>
  <c r="F286" i="1" s="1"/>
  <c r="F284" i="1"/>
  <c r="F40" i="3"/>
  <c r="F225" i="1"/>
  <c r="F226" i="1"/>
  <c r="F37" i="3"/>
  <c r="F36" i="3"/>
  <c r="F35" i="3"/>
  <c r="F22" i="1"/>
  <c r="F18" i="1"/>
  <c r="E18" i="1" s="1"/>
  <c r="F21" i="1"/>
  <c r="E21" i="1"/>
  <c r="E20" i="1" s="1"/>
  <c r="F25" i="3"/>
  <c r="F24" i="3"/>
  <c r="F19" i="3"/>
  <c r="F16" i="3"/>
  <c r="F15" i="3"/>
  <c r="F14" i="3"/>
  <c r="F13" i="3"/>
  <c r="E209" i="1"/>
  <c r="F209" i="1" s="1"/>
  <c r="D5" i="11"/>
  <c r="F197" i="1"/>
  <c r="E165" i="1"/>
  <c r="E164" i="1"/>
  <c r="E225" i="1"/>
  <c r="E182" i="1"/>
  <c r="E171" i="1"/>
  <c r="F168" i="1"/>
  <c r="E80" i="1"/>
  <c r="F80" i="1"/>
  <c r="E45" i="1"/>
  <c r="F45" i="1"/>
  <c r="F181" i="1"/>
  <c r="L2" i="1" s="1"/>
  <c r="F11" i="1"/>
  <c r="F283" i="1"/>
  <c r="F287" i="1" s="1"/>
  <c r="F273" i="1"/>
  <c r="F272" i="1"/>
  <c r="F274" i="1" s="1"/>
  <c r="F270" i="1" s="1"/>
  <c r="F236" i="1"/>
  <c r="F238" i="1" s="1"/>
  <c r="E232" i="1"/>
  <c r="F243" i="1"/>
  <c r="F114" i="1"/>
  <c r="F106" i="1"/>
  <c r="F33" i="1"/>
  <c r="E170" i="1"/>
  <c r="L15" i="1"/>
  <c r="L13" i="1"/>
  <c r="G125" i="1"/>
  <c r="D87" i="1"/>
  <c r="E55" i="1"/>
  <c r="D6" i="11"/>
  <c r="D27" i="11"/>
  <c r="E54" i="1"/>
  <c r="E52" i="1" s="1"/>
  <c r="I48" i="1"/>
  <c r="I49" i="1"/>
  <c r="I50" i="1"/>
  <c r="I51" i="1"/>
  <c r="F50" i="1"/>
  <c r="D18" i="11" s="1"/>
  <c r="J48" i="1"/>
  <c r="F208" i="1"/>
  <c r="D20" i="11" s="1"/>
  <c r="F83" i="1"/>
  <c r="E48" i="1"/>
  <c r="E24" i="1"/>
  <c r="F24" i="1" s="1"/>
  <c r="D215" i="1"/>
  <c r="D214" i="1"/>
  <c r="F187" i="1"/>
  <c r="E213" i="1"/>
  <c r="E210" i="1" s="1"/>
  <c r="F210" i="1" s="1"/>
  <c r="F212" i="1"/>
  <c r="F204" i="1"/>
  <c r="E204" i="1"/>
  <c r="F149" i="1"/>
  <c r="L26" i="1" s="1"/>
  <c r="D147" i="1"/>
  <c r="F128" i="1"/>
  <c r="E128" i="1"/>
  <c r="F116" i="1"/>
  <c r="G116" i="1" s="1"/>
  <c r="F108" i="1"/>
  <c r="G108" i="1" s="1"/>
  <c r="E82" i="1"/>
  <c r="F36" i="1"/>
  <c r="F49" i="1"/>
  <c r="J18" i="1"/>
  <c r="E22" i="1"/>
  <c r="E19" i="1" s="1"/>
  <c r="F19" i="1" s="1"/>
  <c r="F44" i="3"/>
  <c r="F23" i="3"/>
  <c r="F22" i="3"/>
  <c r="G77" i="3"/>
  <c r="F77" i="3"/>
  <c r="G84" i="3"/>
  <c r="F84" i="3"/>
  <c r="I226" i="1"/>
  <c r="F79" i="3"/>
  <c r="F78" i="3" s="1"/>
  <c r="G130" i="3"/>
  <c r="F130" i="3"/>
  <c r="G120" i="3"/>
  <c r="F120" i="3"/>
  <c r="G137" i="3"/>
  <c r="G133" i="3"/>
  <c r="N62" i="5" s="1"/>
  <c r="O62" i="5" s="1"/>
  <c r="E133" i="3"/>
  <c r="D133" i="3"/>
  <c r="F132" i="3"/>
  <c r="F133" i="3" s="1"/>
  <c r="A132" i="3"/>
  <c r="G127" i="3"/>
  <c r="G123" i="3"/>
  <c r="G121" i="3" s="1"/>
  <c r="N61" i="5" s="1"/>
  <c r="O61" i="5" s="1"/>
  <c r="E123" i="3"/>
  <c r="D123" i="3"/>
  <c r="F122" i="3"/>
  <c r="A122" i="3"/>
  <c r="G117" i="3"/>
  <c r="G113" i="3"/>
  <c r="G111" i="3" s="1"/>
  <c r="N60" i="5" s="1"/>
  <c r="O60" i="5" s="1"/>
  <c r="E113" i="3"/>
  <c r="D113" i="3"/>
  <c r="F112" i="3"/>
  <c r="F113" i="3" s="1"/>
  <c r="F111" i="3" s="1"/>
  <c r="E151" i="3" s="1"/>
  <c r="A112" i="3"/>
  <c r="G110" i="3"/>
  <c r="F110" i="3"/>
  <c r="D16" i="11"/>
  <c r="F34" i="3"/>
  <c r="G62" i="3"/>
  <c r="F62" i="3"/>
  <c r="G52" i="3"/>
  <c r="F52" i="3"/>
  <c r="G31" i="3"/>
  <c r="F31" i="3"/>
  <c r="F64" i="3"/>
  <c r="F9" i="3"/>
  <c r="E25" i="9"/>
  <c r="F13" i="9"/>
  <c r="D22" i="9"/>
  <c r="D20" i="9"/>
  <c r="F20" i="9" s="1"/>
  <c r="D16" i="9"/>
  <c r="F16" i="9" s="1"/>
  <c r="D15" i="9"/>
  <c r="F15" i="9" s="1"/>
  <c r="D19" i="9"/>
  <c r="F19" i="9" s="1"/>
  <c r="D18" i="9"/>
  <c r="F18" i="9" s="1"/>
  <c r="D21" i="9"/>
  <c r="F21" i="9" s="1"/>
  <c r="F154" i="1"/>
  <c r="E181" i="1"/>
  <c r="E157" i="1"/>
  <c r="E156" i="1"/>
  <c r="E180" i="1"/>
  <c r="D14" i="11"/>
  <c r="L8" i="1"/>
  <c r="E188" i="1"/>
  <c r="K73" i="1"/>
  <c r="E179" i="1"/>
  <c r="E176" i="1" s="1"/>
  <c r="K20" i="1"/>
  <c r="I185" i="1"/>
  <c r="E168" i="1"/>
  <c r="E167" i="1" s="1"/>
  <c r="E13" i="1"/>
  <c r="F56" i="3"/>
  <c r="I225" i="1"/>
  <c r="F185" i="1"/>
  <c r="E183" i="1"/>
  <c r="E70" i="1"/>
  <c r="K25" i="5"/>
  <c r="J25" i="5"/>
  <c r="I25" i="5"/>
  <c r="H25" i="5"/>
  <c r="G25" i="5"/>
  <c r="F25" i="5"/>
  <c r="E25" i="5"/>
  <c r="D25" i="5"/>
  <c r="C25" i="5"/>
  <c r="F105" i="3"/>
  <c r="D103" i="3"/>
  <c r="F103" i="3"/>
  <c r="O29" i="5"/>
  <c r="E96" i="3"/>
  <c r="E103" i="3" s="1"/>
  <c r="F95" i="3"/>
  <c r="E95" i="3"/>
  <c r="D95" i="3"/>
  <c r="G95" i="3"/>
  <c r="F93" i="3"/>
  <c r="E93" i="3"/>
  <c r="D88" i="3"/>
  <c r="D93" i="3" s="1"/>
  <c r="F85" i="3"/>
  <c r="F80" i="3"/>
  <c r="E80" i="3"/>
  <c r="G74" i="3"/>
  <c r="G203" i="3" s="1"/>
  <c r="G71" i="3"/>
  <c r="E71" i="3"/>
  <c r="D71" i="3"/>
  <c r="F70" i="3"/>
  <c r="F71" i="3" s="1"/>
  <c r="F69" i="3"/>
  <c r="E69" i="3"/>
  <c r="D69" i="3"/>
  <c r="G67" i="3"/>
  <c r="G73" i="3" s="1"/>
  <c r="G69" i="3"/>
  <c r="A66" i="3" s="1"/>
  <c r="F65" i="3"/>
  <c r="F63" i="3"/>
  <c r="G58" i="3"/>
  <c r="N17" i="5" s="1"/>
  <c r="O17" i="5" s="1"/>
  <c r="F57" i="3"/>
  <c r="E57" i="3"/>
  <c r="D57" i="3"/>
  <c r="G55" i="3"/>
  <c r="A54" i="3" s="1"/>
  <c r="I16" i="7"/>
  <c r="F54" i="3"/>
  <c r="F55" i="3" s="1"/>
  <c r="F53" i="3"/>
  <c r="F47" i="3"/>
  <c r="D47" i="3"/>
  <c r="E47" i="3"/>
  <c r="G47" i="3"/>
  <c r="A43" i="3" s="1"/>
  <c r="F41" i="3"/>
  <c r="E41" i="3"/>
  <c r="D41" i="3"/>
  <c r="G41" i="3"/>
  <c r="E39" i="3"/>
  <c r="G38" i="3"/>
  <c r="D37" i="3"/>
  <c r="D39" i="3" s="1"/>
  <c r="D26" i="3"/>
  <c r="E24" i="3"/>
  <c r="E26" i="3" s="1"/>
  <c r="F20" i="3"/>
  <c r="E20" i="3"/>
  <c r="D19" i="3"/>
  <c r="D20" i="3" s="1"/>
  <c r="E18" i="3"/>
  <c r="D13" i="3"/>
  <c r="D12" i="3"/>
  <c r="D18" i="3" s="1"/>
  <c r="G9" i="3"/>
  <c r="G315" i="1"/>
  <c r="F291" i="1"/>
  <c r="N46" i="5" s="1"/>
  <c r="O46" i="5" s="1"/>
  <c r="F289" i="1"/>
  <c r="I46" i="7" s="1"/>
  <c r="E288" i="1"/>
  <c r="E289" i="1" s="1"/>
  <c r="D287" i="1"/>
  <c r="E286" i="1"/>
  <c r="E285" i="1"/>
  <c r="E284" i="1"/>
  <c r="E282" i="1"/>
  <c r="E287" i="1" s="1"/>
  <c r="E281" i="1"/>
  <c r="F280" i="1"/>
  <c r="E280" i="1"/>
  <c r="F276" i="1"/>
  <c r="N56" i="5" s="1"/>
  <c r="O56" i="5" s="1"/>
  <c r="I51" i="7"/>
  <c r="E274" i="1"/>
  <c r="E271" i="1"/>
  <c r="E273" i="1" s="1"/>
  <c r="E270" i="1"/>
  <c r="F269" i="1"/>
  <c r="E269" i="1"/>
  <c r="F265" i="1"/>
  <c r="N50" i="5" s="1"/>
  <c r="O50" i="5" s="1"/>
  <c r="F262" i="1"/>
  <c r="N48" i="5" s="1"/>
  <c r="O48" i="5" s="1"/>
  <c r="F259" i="1"/>
  <c r="E259" i="1"/>
  <c r="F258" i="1"/>
  <c r="I36" i="7" s="1"/>
  <c r="D257" i="1"/>
  <c r="E258" i="1"/>
  <c r="E253" i="1"/>
  <c r="F248" i="1"/>
  <c r="E248" i="1"/>
  <c r="F244" i="1"/>
  <c r="N54" i="5" s="1"/>
  <c r="O54" i="5" s="1"/>
  <c r="F241" i="1"/>
  <c r="N52" i="5" s="1"/>
  <c r="O52" i="5" s="1"/>
  <c r="E238" i="1"/>
  <c r="F237" i="1"/>
  <c r="I44" i="7" s="1"/>
  <c r="E237" i="1"/>
  <c r="D237" i="1"/>
  <c r="D252" i="1" s="1"/>
  <c r="D236" i="1"/>
  <c r="D238" i="1" s="1"/>
  <c r="D253" i="1" s="1"/>
  <c r="D232" i="1"/>
  <c r="D231" i="1"/>
  <c r="F227" i="1"/>
  <c r="F223" i="1"/>
  <c r="E223" i="1"/>
  <c r="E196" i="1"/>
  <c r="F195" i="1"/>
  <c r="E297" i="1" s="1"/>
  <c r="E195" i="1"/>
  <c r="F194" i="1"/>
  <c r="F196" i="1" s="1"/>
  <c r="E298" i="1" s="1"/>
  <c r="D192" i="1"/>
  <c r="D191" i="1"/>
  <c r="E190" i="1"/>
  <c r="E189" i="1"/>
  <c r="D173" i="1"/>
  <c r="F162" i="1"/>
  <c r="E162" i="1"/>
  <c r="D158" i="1"/>
  <c r="F152" i="1"/>
  <c r="E152" i="1"/>
  <c r="N35" i="5"/>
  <c r="O35" i="5" s="1"/>
  <c r="F123" i="1"/>
  <c r="I48" i="7" s="1"/>
  <c r="D123" i="1"/>
  <c r="E122" i="1"/>
  <c r="E123" i="1" s="1"/>
  <c r="F121" i="1"/>
  <c r="C29" i="6" s="1"/>
  <c r="D29" i="6" s="1"/>
  <c r="E121" i="1"/>
  <c r="F120" i="1"/>
  <c r="E120" i="1"/>
  <c r="F115" i="1"/>
  <c r="I47" i="7" s="1"/>
  <c r="D115" i="1"/>
  <c r="E114" i="1"/>
  <c r="E115" i="1" s="1"/>
  <c r="F113" i="1"/>
  <c r="C28" i="6" s="1"/>
  <c r="D28" i="6" s="1"/>
  <c r="E113" i="1"/>
  <c r="F112" i="1"/>
  <c r="E112" i="1"/>
  <c r="F107" i="1"/>
  <c r="D107" i="1"/>
  <c r="D134" i="1" s="1"/>
  <c r="E106" i="1"/>
  <c r="E107" i="1" s="1"/>
  <c r="F105" i="1"/>
  <c r="E105" i="1"/>
  <c r="F104" i="1"/>
  <c r="E104" i="1"/>
  <c r="F99" i="1"/>
  <c r="G100" i="1" s="1"/>
  <c r="F98" i="1"/>
  <c r="I42" i="7" s="1"/>
  <c r="D98" i="1"/>
  <c r="E97" i="1"/>
  <c r="E98" i="1" s="1"/>
  <c r="F96" i="1"/>
  <c r="C26" i="6" s="1"/>
  <c r="D26" i="6" s="1"/>
  <c r="E96" i="1"/>
  <c r="F95" i="1"/>
  <c r="E95" i="1"/>
  <c r="F76" i="1"/>
  <c r="M44" i="5" s="1"/>
  <c r="O44" i="5" s="1"/>
  <c r="F72" i="1"/>
  <c r="D72" i="1"/>
  <c r="D70" i="1"/>
  <c r="J69" i="1"/>
  <c r="F66" i="1"/>
  <c r="E66" i="1"/>
  <c r="F41" i="1"/>
  <c r="F38" i="1"/>
  <c r="F35" i="1"/>
  <c r="D35" i="1"/>
  <c r="F34" i="1"/>
  <c r="E301" i="1" s="1"/>
  <c r="E34" i="1"/>
  <c r="E33" i="1"/>
  <c r="E35" i="1" s="1"/>
  <c r="D31" i="1"/>
  <c r="D56" i="1" s="1"/>
  <c r="D30" i="1"/>
  <c r="D55" i="1" s="1"/>
  <c r="F25" i="1"/>
  <c r="F14" i="1"/>
  <c r="F12" i="1"/>
  <c r="F10" i="1"/>
  <c r="F8" i="1"/>
  <c r="E8" i="1"/>
  <c r="I29" i="7" l="1"/>
  <c r="D19" i="6"/>
  <c r="I28" i="7"/>
  <c r="D18" i="6"/>
  <c r="D17" i="9"/>
  <c r="F17" i="9" s="1"/>
  <c r="B18" i="10"/>
  <c r="D14" i="9"/>
  <c r="E132" i="1"/>
  <c r="E131" i="1" s="1"/>
  <c r="F131" i="1"/>
  <c r="F139" i="1" s="1"/>
  <c r="G139" i="1" s="1"/>
  <c r="L5" i="1"/>
  <c r="E135" i="1"/>
  <c r="F135" i="1"/>
  <c r="E134" i="1"/>
  <c r="E129" i="1" s="1"/>
  <c r="E177" i="1"/>
  <c r="F177" i="1" s="1"/>
  <c r="E15" i="1"/>
  <c r="E173" i="1"/>
  <c r="F173" i="1" s="1"/>
  <c r="J167" i="1" s="1"/>
  <c r="E144" i="1"/>
  <c r="L12" i="1"/>
  <c r="D30" i="11"/>
  <c r="J49" i="1"/>
  <c r="D19" i="11"/>
  <c r="D25" i="11"/>
  <c r="E86" i="1"/>
  <c r="E84" i="1" s="1"/>
  <c r="D26" i="11"/>
  <c r="D7" i="11"/>
  <c r="F218" i="1"/>
  <c r="E207" i="1"/>
  <c r="E215" i="1" s="1"/>
  <c r="G148" i="3"/>
  <c r="G141" i="3"/>
  <c r="C16" i="4" s="1"/>
  <c r="B17" i="6" s="1"/>
  <c r="F123" i="3"/>
  <c r="F121" i="3" s="1"/>
  <c r="E162" i="3"/>
  <c r="F145" i="3"/>
  <c r="G18" i="3"/>
  <c r="G27" i="3"/>
  <c r="F176" i="1"/>
  <c r="F15" i="1"/>
  <c r="G16" i="1"/>
  <c r="F232" i="1"/>
  <c r="F231" i="1"/>
  <c r="J50" i="1"/>
  <c r="G219" i="1"/>
  <c r="F215" i="1"/>
  <c r="E214" i="1"/>
  <c r="E205" i="1" s="1"/>
  <c r="F216" i="1"/>
  <c r="G149" i="1"/>
  <c r="F55" i="1"/>
  <c r="F57" i="1"/>
  <c r="L11" i="1"/>
  <c r="E30" i="1"/>
  <c r="E11" i="1"/>
  <c r="J51" i="1"/>
  <c r="E187" i="1"/>
  <c r="F167" i="1"/>
  <c r="F143" i="1"/>
  <c r="F147" i="1"/>
  <c r="F74" i="1"/>
  <c r="G76" i="1" s="1"/>
  <c r="F70" i="1"/>
  <c r="D12" i="11"/>
  <c r="D10" i="11"/>
  <c r="D21" i="11"/>
  <c r="D8" i="11"/>
  <c r="D15" i="11"/>
  <c r="L14" i="1"/>
  <c r="D23" i="11"/>
  <c r="M28" i="5"/>
  <c r="A70" i="3"/>
  <c r="I20" i="7" s="1"/>
  <c r="G106" i="3"/>
  <c r="G93" i="3"/>
  <c r="A87" i="3" s="1"/>
  <c r="G105" i="3"/>
  <c r="A105" i="3" s="1"/>
  <c r="G39" i="3"/>
  <c r="A34" i="3" s="1"/>
  <c r="G103" i="3"/>
  <c r="A97" i="3" s="1"/>
  <c r="F39" i="3"/>
  <c r="F32" i="3" s="1"/>
  <c r="G48" i="3"/>
  <c r="I24" i="7"/>
  <c r="B30" i="6"/>
  <c r="C24" i="4"/>
  <c r="I25" i="7"/>
  <c r="B32" i="6"/>
  <c r="C25" i="4"/>
  <c r="I26" i="7"/>
  <c r="B33" i="6"/>
  <c r="C26" i="4"/>
  <c r="I21" i="7"/>
  <c r="G20" i="3"/>
  <c r="A12" i="3" s="1"/>
  <c r="F26" i="3"/>
  <c r="G26" i="3"/>
  <c r="A22" i="3" s="1"/>
  <c r="B19" i="10"/>
  <c r="C11" i="10"/>
  <c r="C18" i="10"/>
  <c r="E155" i="1"/>
  <c r="I38" i="7"/>
  <c r="L16" i="1"/>
  <c r="I41" i="7"/>
  <c r="I39" i="7"/>
  <c r="C25" i="6"/>
  <c r="D25" i="6" s="1"/>
  <c r="C17" i="2"/>
  <c r="L17" i="1"/>
  <c r="C18" i="2"/>
  <c r="L18" i="1"/>
  <c r="C19" i="2"/>
  <c r="L19" i="1"/>
  <c r="J19" i="1"/>
  <c r="I45" i="7"/>
  <c r="C20" i="2"/>
  <c r="L20" i="1"/>
  <c r="E71" i="1"/>
  <c r="E72" i="1" s="1"/>
  <c r="E67" i="1" s="1"/>
  <c r="J72" i="1"/>
  <c r="I187" i="1"/>
  <c r="F290" i="1"/>
  <c r="E283" i="1"/>
  <c r="E185" i="1"/>
  <c r="I188" i="1"/>
  <c r="I189" i="1"/>
  <c r="E169" i="1"/>
  <c r="E166" i="1" s="1"/>
  <c r="E191" i="1" s="1"/>
  <c r="J170" i="1"/>
  <c r="D28" i="11"/>
  <c r="E28" i="1"/>
  <c r="O20" i="5"/>
  <c r="L37" i="5"/>
  <c r="O37" i="5" s="1"/>
  <c r="C309" i="1"/>
  <c r="L39" i="5"/>
  <c r="O39" i="5" s="1"/>
  <c r="N24" i="5"/>
  <c r="O24" i="5" s="1"/>
  <c r="N34" i="5"/>
  <c r="O34" i="5" s="1"/>
  <c r="N33" i="5"/>
  <c r="O33" i="5" s="1"/>
  <c r="O22" i="5"/>
  <c r="E299" i="1"/>
  <c r="O23" i="5"/>
  <c r="N53" i="5"/>
  <c r="O53" i="5" s="1"/>
  <c r="G243" i="1"/>
  <c r="F264" i="1"/>
  <c r="F253" i="1"/>
  <c r="F275" i="1"/>
  <c r="G290" i="1"/>
  <c r="I15" i="7"/>
  <c r="L27" i="5"/>
  <c r="M13" i="5"/>
  <c r="O13" i="5" s="1"/>
  <c r="I13" i="7"/>
  <c r="O28" i="5"/>
  <c r="G59" i="3"/>
  <c r="G202" i="3" s="1"/>
  <c r="G57" i="3"/>
  <c r="G72" i="3"/>
  <c r="N18" i="5" s="1"/>
  <c r="O18" i="5" s="1"/>
  <c r="G65" i="3"/>
  <c r="A64" i="3" s="1"/>
  <c r="N31" i="5"/>
  <c r="O31" i="5" s="1"/>
  <c r="N32" i="5"/>
  <c r="O32" i="5" s="1"/>
  <c r="G81" i="3"/>
  <c r="N19" i="5" s="1"/>
  <c r="O19" i="5" s="1"/>
  <c r="G80" i="3"/>
  <c r="A79" i="3" s="1"/>
  <c r="N15" i="5"/>
  <c r="O15" i="5" s="1"/>
  <c r="O16" i="5"/>
  <c r="I22" i="7"/>
  <c r="I27" i="7" l="1"/>
  <c r="D17" i="6"/>
  <c r="F129" i="1"/>
  <c r="I56" i="7"/>
  <c r="F14" i="9"/>
  <c r="F84" i="1"/>
  <c r="E87" i="1"/>
  <c r="E81" i="1" s="1"/>
  <c r="F148" i="3"/>
  <c r="F141" i="3"/>
  <c r="A142" i="3"/>
  <c r="G200" i="3"/>
  <c r="G204" i="3"/>
  <c r="G199" i="3"/>
  <c r="G201" i="3" s="1"/>
  <c r="O14" i="5"/>
  <c r="E192" i="1"/>
  <c r="J16" i="1"/>
  <c r="F192" i="1"/>
  <c r="G59" i="1"/>
  <c r="C307" i="1"/>
  <c r="F224" i="1"/>
  <c r="G217" i="1"/>
  <c r="F214" i="1"/>
  <c r="F205" i="1" s="1"/>
  <c r="E31" i="1"/>
  <c r="E9" i="1"/>
  <c r="F30" i="1"/>
  <c r="F37" i="1"/>
  <c r="F166" i="1"/>
  <c r="E154" i="1"/>
  <c r="F142" i="1"/>
  <c r="E142" i="1"/>
  <c r="E147" i="1"/>
  <c r="E143" i="1"/>
  <c r="D13" i="11"/>
  <c r="I19" i="7"/>
  <c r="F159" i="1"/>
  <c r="F158" i="1"/>
  <c r="E302" i="1" s="1"/>
  <c r="F153" i="1"/>
  <c r="L21" i="1" s="1"/>
  <c r="I50" i="7"/>
  <c r="C27" i="2"/>
  <c r="L24" i="1"/>
  <c r="L6" i="1"/>
  <c r="I186" i="1"/>
  <c r="I190" i="1" s="1"/>
  <c r="F40" i="1"/>
  <c r="E163" i="1"/>
  <c r="F281" i="1"/>
  <c r="F28" i="1"/>
  <c r="G85" i="3"/>
  <c r="N25" i="5"/>
  <c r="I23" i="7"/>
  <c r="G78" i="3"/>
  <c r="I18" i="7"/>
  <c r="G63" i="3"/>
  <c r="A56" i="3"/>
  <c r="G53" i="3"/>
  <c r="N30" i="5"/>
  <c r="G32" i="3"/>
  <c r="B12" i="6" s="1"/>
  <c r="O27" i="5"/>
  <c r="O12" i="5"/>
  <c r="N45" i="5"/>
  <c r="O45" i="5" s="1"/>
  <c r="N55" i="5"/>
  <c r="O55" i="5" s="1"/>
  <c r="G275" i="1"/>
  <c r="N49" i="5"/>
  <c r="O49" i="5" s="1"/>
  <c r="G264" i="1"/>
  <c r="M43" i="5"/>
  <c r="M67" i="5" s="1"/>
  <c r="C34" i="6" l="1"/>
  <c r="D34" i="6" s="1"/>
  <c r="C21" i="2"/>
  <c r="J17" i="1"/>
  <c r="L4" i="1" s="1"/>
  <c r="G37" i="1"/>
  <c r="L3" i="1"/>
  <c r="F88" i="1"/>
  <c r="G91" i="1" s="1"/>
  <c r="G92" i="1" s="1"/>
  <c r="F87" i="1"/>
  <c r="F81" i="1" s="1"/>
  <c r="G196" i="3"/>
  <c r="G205" i="3"/>
  <c r="F200" i="1"/>
  <c r="F198" i="1"/>
  <c r="F191" i="1"/>
  <c r="L38" i="5"/>
  <c r="O38" i="5" s="1"/>
  <c r="C312" i="1"/>
  <c r="N41" i="5"/>
  <c r="O41" i="5" s="1"/>
  <c r="G200" i="1"/>
  <c r="F163" i="1"/>
  <c r="F39" i="1"/>
  <c r="F31" i="1"/>
  <c r="E158" i="1"/>
  <c r="E153" i="1"/>
  <c r="C31" i="6"/>
  <c r="D31" i="6" s="1"/>
  <c r="I12" i="7"/>
  <c r="I17" i="7"/>
  <c r="B13" i="6"/>
  <c r="C15" i="4"/>
  <c r="B14" i="6"/>
  <c r="D14" i="6" s="1"/>
  <c r="C23" i="4"/>
  <c r="B16" i="6"/>
  <c r="C13" i="4"/>
  <c r="B15" i="6"/>
  <c r="C30" i="6"/>
  <c r="D30" i="6" s="1"/>
  <c r="C22" i="2"/>
  <c r="I49" i="7"/>
  <c r="E303" i="1"/>
  <c r="E15" i="8" s="1"/>
  <c r="F15" i="8" s="1"/>
  <c r="C313" i="1"/>
  <c r="C320" i="1" s="1"/>
  <c r="N42" i="5"/>
  <c r="O42" i="5" s="1"/>
  <c r="G159" i="1"/>
  <c r="C15" i="6"/>
  <c r="I52" i="7"/>
  <c r="L25" i="1"/>
  <c r="C13" i="6"/>
  <c r="D15" i="6"/>
  <c r="C14" i="4"/>
  <c r="C26" i="2"/>
  <c r="O43" i="5"/>
  <c r="C12" i="4"/>
  <c r="O30" i="5"/>
  <c r="F9" i="1" l="1"/>
  <c r="J20" i="1"/>
  <c r="J21" i="1" s="1"/>
  <c r="G40" i="1"/>
  <c r="I40" i="7"/>
  <c r="F67" i="1"/>
  <c r="D16" i="6"/>
  <c r="J73" i="1"/>
  <c r="J74" i="1" s="1"/>
  <c r="C13" i="2"/>
  <c r="C12" i="6"/>
  <c r="C15" i="2"/>
  <c r="N40" i="5"/>
  <c r="G198" i="1"/>
  <c r="G220" i="1" s="1"/>
  <c r="O21" i="5"/>
  <c r="D12" i="6" l="1"/>
  <c r="O40" i="5"/>
  <c r="M25" i="5"/>
  <c r="M68" i="5" s="1"/>
  <c r="I37" i="7" l="1"/>
  <c r="L36" i="5"/>
  <c r="L67" i="5" s="1"/>
  <c r="O36" i="5" l="1"/>
  <c r="C11" i="2" l="1"/>
  <c r="C11" i="6"/>
  <c r="F18" i="3"/>
  <c r="F10" i="3" s="1"/>
  <c r="L11" i="5" l="1"/>
  <c r="O11" i="5" s="1"/>
  <c r="O25" i="5" s="1"/>
  <c r="G10" i="3"/>
  <c r="I14" i="7" l="1"/>
  <c r="I34" i="7" s="1"/>
  <c r="C11" i="4"/>
  <c r="B11" i="6"/>
  <c r="B36" i="6" s="1"/>
  <c r="L25" i="5"/>
  <c r="L68" i="5" s="1"/>
  <c r="C27" i="4" l="1"/>
  <c r="C32" i="4" s="1"/>
  <c r="C31" i="4"/>
  <c r="F13" i="8"/>
  <c r="D16" i="8"/>
  <c r="D11" i="6"/>
  <c r="C33" i="4"/>
  <c r="F52" i="1"/>
  <c r="F56" i="1" s="1"/>
  <c r="E295" i="1" s="1"/>
  <c r="E56" i="1"/>
  <c r="E46" i="1" s="1"/>
  <c r="F46" i="1" l="1"/>
  <c r="F301" i="1"/>
  <c r="G301" i="1" s="1"/>
  <c r="F60" i="1"/>
  <c r="E252" i="1"/>
  <c r="E249" i="1" s="1"/>
  <c r="G62" i="1" l="1"/>
  <c r="G63" i="1" s="1"/>
  <c r="C311" i="1"/>
  <c r="F252" i="1"/>
  <c r="E294" i="1" s="1"/>
  <c r="F261" i="1"/>
  <c r="F249" i="1" l="1"/>
  <c r="C314" i="1"/>
  <c r="F313" i="1"/>
  <c r="H313" i="1" s="1"/>
  <c r="C317" i="1"/>
  <c r="N47" i="5"/>
  <c r="G261" i="1"/>
  <c r="I35" i="7"/>
  <c r="I58" i="7" s="1"/>
  <c r="G294" i="1" l="1"/>
  <c r="C318" i="1"/>
  <c r="F297" i="1"/>
  <c r="G297" i="1" s="1"/>
  <c r="E296" i="1"/>
  <c r="E300" i="1" s="1"/>
  <c r="C25" i="2"/>
  <c r="C24" i="6"/>
  <c r="C36" i="6" s="1"/>
  <c r="L23" i="1"/>
  <c r="O47" i="5"/>
  <c r="D24" i="6" l="1"/>
  <c r="D36" i="6" s="1"/>
  <c r="C27" i="6"/>
  <c r="D27" i="6" s="1"/>
  <c r="C24" i="2"/>
  <c r="C28" i="2"/>
  <c r="L22" i="1"/>
  <c r="L29" i="1" s="1"/>
  <c r="C32" i="2" l="1"/>
  <c r="C31" i="2"/>
  <c r="D41" i="6"/>
  <c r="D40" i="6"/>
  <c r="D42" i="6" s="1"/>
  <c r="L31" i="1"/>
  <c r="L32" i="1"/>
  <c r="C33" i="2"/>
  <c r="I43" i="7"/>
  <c r="E14" i="8"/>
  <c r="E304" i="1"/>
  <c r="H67" i="1" l="1"/>
  <c r="H9" i="1"/>
  <c r="F14" i="8"/>
  <c r="F16" i="8" s="1"/>
  <c r="E16" i="8"/>
  <c r="I224" i="1"/>
  <c r="I227" i="1" s="1"/>
  <c r="E231" i="1"/>
  <c r="E224" i="1" s="1"/>
  <c r="F240" i="1"/>
  <c r="C308" i="1" s="1"/>
  <c r="F309" i="1" s="1"/>
  <c r="H309" i="1"/>
  <c r="F315" i="1"/>
  <c r="H316" i="1"/>
  <c r="C310" i="1" l="1"/>
  <c r="C315" i="1" s="1"/>
  <c r="C319" i="1"/>
  <c r="N51" i="5"/>
  <c r="N67" i="5" s="1"/>
  <c r="G240" i="1"/>
  <c r="N68" i="5" l="1"/>
  <c r="O51" i="5"/>
  <c r="O67" i="5" s="1"/>
  <c r="C321" i="1"/>
  <c r="C322" i="1"/>
  <c r="F321" i="1" s="1"/>
  <c r="F318" i="1" l="1"/>
  <c r="I59" i="7"/>
  <c r="O68" i="5"/>
</calcChain>
</file>

<file path=xl/sharedStrings.xml><?xml version="1.0" encoding="utf-8"?>
<sst xmlns="http://schemas.openxmlformats.org/spreadsheetml/2006/main" count="1961" uniqueCount="528">
  <si>
    <t>Planejamento Orçamentário 2026 - FERD</t>
  </si>
  <si>
    <t>Despesa</t>
  </si>
  <si>
    <t>Ação</t>
  </si>
  <si>
    <t>FR</t>
  </si>
  <si>
    <t>Valor/ano</t>
  </si>
  <si>
    <t>3.3.90.08.07- Outros Beneficios Assistenciais (Educação Infantil)</t>
  </si>
  <si>
    <t>0004</t>
  </si>
  <si>
    <t>0006</t>
  </si>
  <si>
    <t>0135</t>
  </si>
  <si>
    <t>Total</t>
  </si>
  <si>
    <t>3.3.90.36 - Outros Serv Terceiros - P Física (Perícias Judiciais)</t>
  </si>
  <si>
    <t>3.3.90.37 - Multserv</t>
  </si>
  <si>
    <t>3.3.90.37 - Unir Locações</t>
  </si>
  <si>
    <t>3.3.90.37 - Multseg</t>
  </si>
  <si>
    <t>3.3.90.37 - Jorge Henrique</t>
  </si>
  <si>
    <t xml:space="preserve">3.3.90.46 - Auxílio Alimentação </t>
  </si>
  <si>
    <t>3.3.90.47 - Obrigações Tributárias e Contributivas - PIS/PASEP e INSS</t>
  </si>
  <si>
    <t>3.3.90.93 - Bolsa Estudo</t>
  </si>
  <si>
    <t>3.3.90.93 - Auxílio Saúde Inativos</t>
  </si>
  <si>
    <t>Mudanças de Contratos Contínuos de Ação</t>
  </si>
  <si>
    <t>Fornecedor</t>
  </si>
  <si>
    <t>Nº Contrato</t>
  </si>
  <si>
    <t>Valor</t>
  </si>
  <si>
    <t>De</t>
  </si>
  <si>
    <t>Para</t>
  </si>
  <si>
    <t>GRAPHO PRODUTOS</t>
  </si>
  <si>
    <t>31/2023</t>
  </si>
  <si>
    <t>0008</t>
  </si>
  <si>
    <t>1296</t>
  </si>
  <si>
    <t>HUMFRIL</t>
  </si>
  <si>
    <t>68/2022</t>
  </si>
  <si>
    <t>MARCOS AURELIO</t>
  </si>
  <si>
    <t>08/2023</t>
  </si>
  <si>
    <t>ENGENHARIA SANT’ANA</t>
  </si>
  <si>
    <t>41/2024</t>
  </si>
  <si>
    <t>MULTSEG</t>
  </si>
  <si>
    <t>59/2025</t>
  </si>
  <si>
    <t>1297</t>
  </si>
  <si>
    <t>TRIBUNAL DE JUSTIÇA DO ESTADO DE SERGIPE</t>
  </si>
  <si>
    <t>Posição:</t>
  </si>
  <si>
    <t>SECRETARIA DE FINANÇAS E ORÇAMENTO - SEFINOR</t>
  </si>
  <si>
    <t>Exercício:</t>
  </si>
  <si>
    <t>Novas Demandas</t>
  </si>
  <si>
    <t>DIRETORIA DE ORÇAMENTO - DIOR</t>
  </si>
  <si>
    <t>Reajuste</t>
  </si>
  <si>
    <t>Contrato</t>
  </si>
  <si>
    <t xml:space="preserve"> Proposta Orçamentária 2027 - QUADRO DETALHADO DA DESPESA - FERD  </t>
  </si>
  <si>
    <t>Estimativa</t>
  </si>
  <si>
    <t xml:space="preserve"> Despesa por Projeto/Atividade e Elementação da Despesa</t>
  </si>
  <si>
    <t>Ordinário</t>
  </si>
  <si>
    <t>Atas, inexigibilidade e contratação direta</t>
  </si>
  <si>
    <t>Multserv</t>
  </si>
  <si>
    <t>CLASSIFICAÇÃO FUNCIONAL PROGRAMÁTICA</t>
  </si>
  <si>
    <t>Média/m</t>
  </si>
  <si>
    <t>Valor/mês</t>
  </si>
  <si>
    <t>Multseg</t>
  </si>
  <si>
    <t>Liquidada/2023</t>
  </si>
  <si>
    <t>Locação de Veículos</t>
  </si>
  <si>
    <t>02.061.0006</t>
  </si>
  <si>
    <t>0004 - Prestação Jurisdicional do 1º Grau</t>
  </si>
  <si>
    <t>OK - i-gesp</t>
  </si>
  <si>
    <t>Aux. Educ. Infantil</t>
  </si>
  <si>
    <r>
      <rPr>
        <sz val="8"/>
        <color rgb="FF4472C4"/>
        <rFont val="Arial"/>
        <family val="2"/>
        <charset val="1"/>
      </rPr>
      <t>3.3.90.30</t>
    </r>
    <r>
      <rPr>
        <sz val="9"/>
        <color rgb="FF4472C4"/>
        <rFont val="Arial"/>
        <family val="2"/>
        <charset val="1"/>
      </rPr>
      <t xml:space="preserve"> - Material de Consumo</t>
    </r>
  </si>
  <si>
    <t>Discricionária</t>
  </si>
  <si>
    <t>Ainda não houve em 2025, deixei o mesmo valor</t>
  </si>
  <si>
    <t>Bolsa Estudo</t>
  </si>
  <si>
    <t>Aux. Alimentação</t>
  </si>
  <si>
    <r>
      <rPr>
        <sz val="8"/>
        <color rgb="FF4472C4"/>
        <rFont val="Arial"/>
      </rPr>
      <t>3.3.90.36</t>
    </r>
    <r>
      <rPr>
        <sz val="9"/>
        <color rgb="FF4472C4"/>
        <rFont val="Arial"/>
      </rPr>
      <t xml:space="preserve"> - Outros Serv Terceiros - P Física (Perícias Judiciais)</t>
    </r>
  </si>
  <si>
    <t>Valor solicitado nas demandas</t>
  </si>
  <si>
    <t>Aux. Saúde Inativos</t>
  </si>
  <si>
    <t>Perícias</t>
  </si>
  <si>
    <r>
      <rPr>
        <sz val="8"/>
        <color rgb="FF4472C4"/>
        <rFont val="Arial"/>
      </rPr>
      <t>3.3.90.37</t>
    </r>
    <r>
      <rPr>
        <sz val="9"/>
        <color rgb="FF4472C4"/>
        <rFont val="Arial"/>
      </rPr>
      <t xml:space="preserve"> - Locação de Mão de Obra(Multiserv/Multiseg/Prod Jornal)</t>
    </r>
  </si>
  <si>
    <t>Obr. Tributárias</t>
  </si>
  <si>
    <t>Investimentos 1º</t>
  </si>
  <si>
    <t>3.3.90.37.01 - Multserv - 39,46%</t>
  </si>
  <si>
    <t>Investimentos 2º</t>
  </si>
  <si>
    <t>Notários</t>
  </si>
  <si>
    <t>3.3.90.37.07 - Jorge Henrique</t>
  </si>
  <si>
    <t>Atas, inexig. e CD</t>
  </si>
  <si>
    <t>Construção</t>
  </si>
  <si>
    <r>
      <rPr>
        <sz val="8"/>
        <color rgb="FF4472C4"/>
        <rFont val="Arial"/>
        <family val="2"/>
        <charset val="1"/>
      </rPr>
      <t>3.3.90.39</t>
    </r>
    <r>
      <rPr>
        <sz val="9"/>
        <color rgb="FF4472C4"/>
        <rFont val="Arial"/>
        <family val="2"/>
        <charset val="1"/>
      </rPr>
      <t xml:space="preserve"> - Outros Serv Terceiros - P Jurídica</t>
    </r>
  </si>
  <si>
    <t>1759</t>
  </si>
  <si>
    <t>4.4.90 - Investimento</t>
  </si>
  <si>
    <t>Ampliação</t>
  </si>
  <si>
    <t>Reforma</t>
  </si>
  <si>
    <t>01 - Contratos</t>
  </si>
  <si>
    <t>Aparelhamento</t>
  </si>
  <si>
    <t>02 - Estimativas - SAAE e Serviços Bancários</t>
  </si>
  <si>
    <t>Manutenção de TI</t>
  </si>
  <si>
    <r>
      <rPr>
        <sz val="8"/>
        <color rgb="FF4472C4"/>
        <rFont val="Arial"/>
        <family val="2"/>
        <charset val="1"/>
      </rPr>
      <t xml:space="preserve">3.3.90.40 </t>
    </r>
    <r>
      <rPr>
        <sz val="9"/>
        <color rgb="FF4472C4"/>
        <rFont val="Arial"/>
        <family val="2"/>
        <charset val="1"/>
      </rPr>
      <t>- Serviços de Tecnologia da Informação e Comunicação - P. Jurídica</t>
    </r>
  </si>
  <si>
    <t>Ampliação de TI</t>
  </si>
  <si>
    <t>Segurança Cibernética</t>
  </si>
  <si>
    <r>
      <rPr>
        <sz val="8"/>
        <color rgb="FF4472C4"/>
        <rFont val="Arial"/>
        <family val="2"/>
        <charset val="1"/>
      </rPr>
      <t>3.3.90.92</t>
    </r>
    <r>
      <rPr>
        <sz val="9"/>
        <color rgb="FF4472C4"/>
        <rFont val="Arial"/>
        <family val="2"/>
        <charset val="1"/>
      </rPr>
      <t xml:space="preserve"> - Despesas de Exercícios Anteriores</t>
    </r>
  </si>
  <si>
    <t>Ejuse</t>
  </si>
  <si>
    <t>Gestão e Manutenção da Segurança</t>
  </si>
  <si>
    <r>
      <rPr>
        <sz val="8"/>
        <color rgb="FF4472C4"/>
        <rFont val="Arial"/>
      </rPr>
      <t>3.3.90.93</t>
    </r>
    <r>
      <rPr>
        <sz val="9"/>
        <color rgb="FF4472C4"/>
        <rFont val="Arial"/>
      </rPr>
      <t xml:space="preserve"> - Indenizações e Restituições</t>
    </r>
  </si>
  <si>
    <t>Obrigatória</t>
  </si>
  <si>
    <t>Manutenção Predial</t>
  </si>
  <si>
    <t>CNJ</t>
  </si>
  <si>
    <t>3.3.90.93.02 - Restituições</t>
  </si>
  <si>
    <t>Não foi colocado previsão inicial para restituição dos interinos</t>
  </si>
  <si>
    <t>Sub-total - 3.3.90.00.00-FR 1759</t>
  </si>
  <si>
    <t>Sub-total - 3.3.90.00.00-FR 1760</t>
  </si>
  <si>
    <r>
      <rPr>
        <sz val="8"/>
        <color rgb="FF4472C4"/>
        <rFont val="Arial"/>
        <family val="2"/>
        <charset val="1"/>
      </rPr>
      <t>4.4.90.52</t>
    </r>
    <r>
      <rPr>
        <sz val="9"/>
        <color rgb="FF4472C4"/>
        <rFont val="Arial"/>
        <family val="2"/>
        <charset val="1"/>
      </rPr>
      <t>- Equipamentos e Material Permanente</t>
    </r>
  </si>
  <si>
    <t>Sub-total 4.4.90.00 - FR 1759</t>
  </si>
  <si>
    <t>Sub-total 4.4.90.00 - FR 1760</t>
  </si>
  <si>
    <t>Obrigatória – 3.3</t>
  </si>
  <si>
    <t>Discricionária 3.3</t>
  </si>
  <si>
    <t>Discricionária 4.4</t>
  </si>
  <si>
    <t>02.122.0040</t>
  </si>
  <si>
    <t>1293 - Gestão de Auxílios e Benefícios Assistenciais do 1º Grau</t>
  </si>
  <si>
    <r>
      <rPr>
        <sz val="8"/>
        <color rgb="FF4472C4"/>
        <rFont val="Arial"/>
      </rPr>
      <t>3.3.90.08.07</t>
    </r>
    <r>
      <rPr>
        <sz val="9"/>
        <color rgb="FF4472C4"/>
        <rFont val="Arial"/>
      </rPr>
      <t>- Outros Beneficios Assistenciais (Educação Infantil)</t>
    </r>
  </si>
  <si>
    <t>De acordo com os valores passados por Andrea</t>
  </si>
  <si>
    <r>
      <rPr>
        <sz val="8"/>
        <color rgb="FF4472C4"/>
        <rFont val="Arial"/>
      </rPr>
      <t>3.3.90.46</t>
    </r>
    <r>
      <rPr>
        <sz val="9"/>
        <color rgb="FF4472C4"/>
        <rFont val="Arial"/>
      </rPr>
      <t xml:space="preserve"> - Auxílio Alimentação</t>
    </r>
    <r>
      <rPr>
        <b/>
        <sz val="9"/>
        <color rgb="FFFF0000"/>
        <rFont val="Arial"/>
      </rPr>
      <t xml:space="preserve"> </t>
    </r>
  </si>
  <si>
    <t>6 meses</t>
  </si>
  <si>
    <r>
      <rPr>
        <sz val="8"/>
        <color rgb="FF4472C4"/>
        <rFont val="Arial"/>
        <family val="2"/>
        <charset val="1"/>
      </rPr>
      <t>3.3.90.93</t>
    </r>
    <r>
      <rPr>
        <sz val="9"/>
        <color rgb="FF4472C4"/>
        <rFont val="Arial"/>
        <family val="2"/>
        <charset val="1"/>
      </rPr>
      <t xml:space="preserve"> - Indenizações e Restituições (Bolsa Estudo e Aux. Saúde ativos)</t>
    </r>
  </si>
  <si>
    <t>3.3.90.93.06 - Auxílio Saúde Ativos</t>
  </si>
  <si>
    <t>Todo pelo Tesouro</t>
  </si>
  <si>
    <t>3.3.90.93.09 - Bolsa Estudo</t>
  </si>
  <si>
    <t>Total no 1º Grau</t>
  </si>
  <si>
    <t>Valor/m</t>
  </si>
  <si>
    <t>0006 - Prestação Jurisdicional do 2º Grau</t>
  </si>
  <si>
    <t>1760</t>
  </si>
  <si>
    <t>Obrigatória – 4.4</t>
  </si>
  <si>
    <t>1294 - Gestão de Auxílios e Benefícios Assistenciais do 2º Grau</t>
  </si>
  <si>
    <r>
      <rPr>
        <sz val="8"/>
        <color rgb="FF4472C4"/>
        <rFont val="Arial"/>
        <family val="2"/>
        <charset val="1"/>
      </rPr>
      <t>3.3.90.08.07</t>
    </r>
    <r>
      <rPr>
        <sz val="9"/>
        <color rgb="FF4472C4"/>
        <rFont val="Arial"/>
        <family val="2"/>
        <charset val="1"/>
      </rPr>
      <t>- Outros Beneficios Assistenciais (Educ Infantil)</t>
    </r>
  </si>
  <si>
    <r>
      <rPr>
        <sz val="8"/>
        <color rgb="FF4472C4"/>
        <rFont val="Arial"/>
        <family val="2"/>
        <charset val="1"/>
      </rPr>
      <t>3.3.90.46</t>
    </r>
    <r>
      <rPr>
        <sz val="9"/>
        <color rgb="FF4472C4"/>
        <rFont val="Arial"/>
        <family val="2"/>
        <charset val="1"/>
      </rPr>
      <t xml:space="preserve"> - Auxílio Alimentação</t>
    </r>
  </si>
  <si>
    <t>Total no 2º Grau</t>
  </si>
  <si>
    <t xml:space="preserve">0007 - Fundo de Apoio ao Registro Civil </t>
  </si>
  <si>
    <t>3.3.90.93 - Despesas de Exercícios Anteriores</t>
  </si>
  <si>
    <t xml:space="preserve">0005 - Ampliação de Unidades do Poder Judiciário </t>
  </si>
  <si>
    <t>4.4.90.51 - Obras e Instalações</t>
  </si>
  <si>
    <t>Sub-total - 4.4.90.00 - FR 1760</t>
  </si>
  <si>
    <t>0010 - Construção de Unidades do Poder Judiciário</t>
  </si>
  <si>
    <t>0011 - Reforma de Unidades do Poder Judiciário</t>
  </si>
  <si>
    <t>3.3.90.39 - Outros Serviços de Terceiros - P.Jurídica</t>
  </si>
  <si>
    <t>Sub-total - 3.3.90.00 - FR 1760</t>
  </si>
  <si>
    <t>1296 - Gestão e Manutenção Predial das Unidades do PJ</t>
  </si>
  <si>
    <t>3.3.90.39 - Contratos</t>
  </si>
  <si>
    <t>3.3.90.39 - Atas</t>
  </si>
  <si>
    <t>1297 - Gestão e Manutenção das Ações de Segurança Institucional do PJ</t>
  </si>
  <si>
    <t>Pendente</t>
  </si>
  <si>
    <t xml:space="preserve">3.3.90.39 - Novas Demandas </t>
  </si>
  <si>
    <t>3.3.90.37.02 - Multseg</t>
  </si>
  <si>
    <t>02.122.0006</t>
  </si>
  <si>
    <t>0012 - Aparelhamento das Unidades Administrativas</t>
  </si>
  <si>
    <t>4.4.90.52 - Equipamentos E Material Permanente</t>
  </si>
  <si>
    <t>4.4.90.52 - Com base em 2026</t>
  </si>
  <si>
    <t xml:space="preserve">4.4.90.52 - Atas </t>
  </si>
  <si>
    <t>Atas</t>
  </si>
  <si>
    <t xml:space="preserve">4.4.90.52 - Novas Demandas </t>
  </si>
  <si>
    <t>SEPLAD</t>
  </si>
  <si>
    <t>0135 - Manutenção dos Serviços Administrativos</t>
  </si>
  <si>
    <t>3.3.20.41 - FUNDO DE MODERNIZAÇÃO DO CNJ - RES. CNJ 627/2025</t>
  </si>
  <si>
    <t>3.3.90.30 - Contratos</t>
  </si>
  <si>
    <t>3.3.90.30 - Ordinários - ata, inexigibilidade e contratações diretas</t>
  </si>
  <si>
    <t>3.3.90.31.00 - Material de Distribuição Gratuita</t>
  </si>
  <si>
    <r>
      <rPr>
        <sz val="8"/>
        <color rgb="FF4472C4"/>
        <rFont val="Arial"/>
        <family val="2"/>
        <charset val="1"/>
      </rPr>
      <t>3.3.90.37</t>
    </r>
    <r>
      <rPr>
        <sz val="9"/>
        <color rgb="FF4472C4"/>
        <rFont val="Arial"/>
        <family val="2"/>
        <charset val="1"/>
      </rPr>
      <t xml:space="preserve"> - Locação de Mão de Obra(Multiserv/Multiseg/Prod Jornal))</t>
    </r>
  </si>
  <si>
    <t>3.3.90.37.01 - Multserv - 60,54%</t>
  </si>
  <si>
    <t>3.3.90.37.06 - Unir Locações</t>
  </si>
  <si>
    <t>Valor solicitado pela unidade</t>
  </si>
  <si>
    <t>Água, energia e Correios</t>
  </si>
  <si>
    <t>3.3.90.39 - Ordinários - Atas, Inegixibilidade</t>
  </si>
  <si>
    <t>Presidência, Dir. de Comunicação, Coord. de Cerimonial, Sejud e Sefinor</t>
  </si>
  <si>
    <t>3.3.90.39 - Estimativa</t>
  </si>
  <si>
    <t>Contratos</t>
  </si>
  <si>
    <t>3.3.90.30</t>
  </si>
  <si>
    <r>
      <rPr>
        <sz val="8"/>
        <color rgb="FF4472C4"/>
        <rFont val="Arial"/>
        <family val="2"/>
        <charset val="1"/>
      </rPr>
      <t>3.3.90.46</t>
    </r>
    <r>
      <rPr>
        <sz val="9"/>
        <color rgb="FF4472C4"/>
        <rFont val="Arial"/>
        <family val="2"/>
        <charset val="1"/>
      </rPr>
      <t xml:space="preserve"> - Auxílio Alimentação</t>
    </r>
    <r>
      <rPr>
        <b/>
        <sz val="9"/>
        <color rgb="FFFF0000"/>
        <rFont val="Arial"/>
        <family val="2"/>
        <charset val="1"/>
      </rPr>
      <t xml:space="preserve"> </t>
    </r>
  </si>
  <si>
    <t>3.3.90.37</t>
  </si>
  <si>
    <t>3.3.90.39</t>
  </si>
  <si>
    <t>3.3.90.46.02 - Contratos</t>
  </si>
  <si>
    <t>3.3.90.40</t>
  </si>
  <si>
    <t>3.3.90.46</t>
  </si>
  <si>
    <t>Total Contratos</t>
  </si>
  <si>
    <r>
      <rPr>
        <sz val="8"/>
        <color rgb="FF4472C4"/>
        <rFont val="Arial"/>
        <family val="2"/>
        <charset val="1"/>
      </rPr>
      <t xml:space="preserve">3.3.91.39 - </t>
    </r>
    <r>
      <rPr>
        <sz val="9"/>
        <color rgb="FF4472C4"/>
        <rFont val="Arial"/>
        <family val="2"/>
        <charset val="1"/>
      </rPr>
      <t>Outros Serv Terceiros - P Jurídica</t>
    </r>
  </si>
  <si>
    <t>Sub-total – 3.3.91.00.00-FR 1759</t>
  </si>
  <si>
    <t>Sub-total – 3.3.91.00.00-FR 1760</t>
  </si>
  <si>
    <t>1295 - Gestão de Auxílios e Benefícios Assistenciais da Área Administrativa</t>
  </si>
  <si>
    <r>
      <rPr>
        <sz val="8"/>
        <color rgb="FF4472C4"/>
        <rFont val="Arial"/>
      </rPr>
      <t>3.3.90.46.01</t>
    </r>
    <r>
      <rPr>
        <sz val="9"/>
        <color rgb="FF4472C4"/>
        <rFont val="Arial"/>
      </rPr>
      <t xml:space="preserve"> - Auxílio Alimentação</t>
    </r>
  </si>
  <si>
    <r>
      <rPr>
        <sz val="8"/>
        <color rgb="FF4472C4"/>
        <rFont val="Arial"/>
        <family val="2"/>
        <charset val="1"/>
      </rPr>
      <t>3.3.90.93</t>
    </r>
    <r>
      <rPr>
        <sz val="9"/>
        <color rgb="FF4472C4"/>
        <rFont val="Arial"/>
        <family val="2"/>
        <charset val="1"/>
      </rPr>
      <t xml:space="preserve"> – Indeniz. e Restituições (Bolsa Estudo e Aux. Saúde ativos e Inativos)</t>
    </r>
  </si>
  <si>
    <t>Todo no Tesouro</t>
  </si>
  <si>
    <t>3.3.90.93.08 - Auxílio Saúde Inativos</t>
  </si>
  <si>
    <t>02.126.0006</t>
  </si>
  <si>
    <t>0008 - Manutenção da Tecnologia e Informação</t>
  </si>
  <si>
    <r>
      <rPr>
        <sz val="8"/>
        <color rgb="FF4472C4"/>
        <rFont val="Arial"/>
      </rPr>
      <t>3.3.90.37</t>
    </r>
    <r>
      <rPr>
        <sz val="9"/>
        <color rgb="FF4472C4"/>
        <rFont val="Arial"/>
      </rPr>
      <t xml:space="preserve"> - Locação de Mão de Obra (Lanlink - Contrato)</t>
    </r>
  </si>
  <si>
    <r>
      <rPr>
        <sz val="8"/>
        <color rgb="FF4472C4"/>
        <rFont val="Arial"/>
        <family val="2"/>
        <charset val="1"/>
      </rPr>
      <t>3.3.90.40</t>
    </r>
    <r>
      <rPr>
        <sz val="9"/>
        <color rgb="FF4472C4"/>
        <rFont val="Arial"/>
        <family val="2"/>
        <charset val="1"/>
      </rPr>
      <t xml:space="preserve"> - Serv de Tecnologia e Informação</t>
    </r>
  </si>
  <si>
    <t>4.4.90.40 – Serviços de Tecnologia da Informação e Comunicação – PJ</t>
  </si>
  <si>
    <r>
      <rPr>
        <b/>
        <sz val="11"/>
        <rFont val="Arial"/>
        <family val="2"/>
        <charset val="1"/>
      </rPr>
      <t xml:space="preserve">0003 - </t>
    </r>
    <r>
      <rPr>
        <b/>
        <sz val="10"/>
        <rFont val="Arial"/>
        <family val="2"/>
        <charset val="1"/>
      </rPr>
      <t>AMPLIAÇÃO DO PARQUE COMPUTACIONAL DO PJ</t>
    </r>
  </si>
  <si>
    <t>Sub-total – 4.4.90.00.-FR 1759</t>
  </si>
  <si>
    <r>
      <rPr>
        <b/>
        <sz val="11"/>
        <rFont val="Arial"/>
        <family val="2"/>
        <charset val="1"/>
      </rPr>
      <t xml:space="preserve">0124 - </t>
    </r>
    <r>
      <rPr>
        <b/>
        <sz val="10"/>
        <rFont val="Arial"/>
        <family val="2"/>
        <charset val="1"/>
      </rPr>
      <t xml:space="preserve">SEGURANÇA CIBERNÉTICA DA INFORMAÇÃO </t>
    </r>
  </si>
  <si>
    <t>3.3.90.40 - Serv de Tecnologia e Informação</t>
  </si>
  <si>
    <t>4.4.90.52 - Equipamento e Material Permanente</t>
  </si>
  <si>
    <t>Sub-total - 3.3.90.00.-FR 1760</t>
  </si>
  <si>
    <t>02.128.0006</t>
  </si>
  <si>
    <r>
      <rPr>
        <b/>
        <sz val="11"/>
        <rFont val="Arial"/>
        <family val="2"/>
        <charset val="1"/>
      </rPr>
      <t>0009 - Escola Judicial do Estado de Sergipe</t>
    </r>
    <r>
      <rPr>
        <b/>
        <sz val="11"/>
        <color rgb="FF4472C4"/>
        <rFont val="Arial"/>
        <family val="2"/>
        <charset val="1"/>
      </rPr>
      <t xml:space="preserve"> </t>
    </r>
  </si>
  <si>
    <t>3.3.90.31 - Premiações</t>
  </si>
  <si>
    <r>
      <rPr>
        <sz val="8"/>
        <color rgb="FF4472C4"/>
        <rFont val="Arial"/>
        <family val="2"/>
        <charset val="1"/>
      </rPr>
      <t>3.3.90.33</t>
    </r>
    <r>
      <rPr>
        <sz val="9"/>
        <color rgb="FF4472C4"/>
        <rFont val="Arial"/>
        <family val="2"/>
        <charset val="1"/>
      </rPr>
      <t xml:space="preserve"> – Passagens e Despesas com Locomoção</t>
    </r>
  </si>
  <si>
    <r>
      <rPr>
        <sz val="8"/>
        <color rgb="FF4472C4"/>
        <rFont val="Arial"/>
        <family val="2"/>
        <charset val="1"/>
      </rPr>
      <t>3.3.90.36</t>
    </r>
    <r>
      <rPr>
        <sz val="9"/>
        <color rgb="FF4472C4"/>
        <rFont val="Arial"/>
        <family val="2"/>
        <charset val="1"/>
      </rPr>
      <t xml:space="preserve"> - Outros Serv Terceiros - P Física</t>
    </r>
  </si>
  <si>
    <t>Total - 3.3.90.00.00-FR 1759</t>
  </si>
  <si>
    <t>Conferência</t>
  </si>
  <si>
    <t>Total - 3.3.90.00.00-FR 1760</t>
  </si>
  <si>
    <t>Total – 3.3.90.00.00</t>
  </si>
  <si>
    <t>Total – 3.3.91.00.00-FR 1759</t>
  </si>
  <si>
    <t>Total – 3.3.91.00.00-FR 1760</t>
  </si>
  <si>
    <t>Total – 3.3.91.00.00</t>
  </si>
  <si>
    <t>Total – 3.3</t>
  </si>
  <si>
    <t>Total 4.4.90.00 - FR 1759</t>
  </si>
  <si>
    <t>Total 4.4.90.00 - FR 1760</t>
  </si>
  <si>
    <t>Total – 4.4.90.00.00</t>
  </si>
  <si>
    <t>Total do Orçamento 2027</t>
  </si>
  <si>
    <t>R E S U M O</t>
  </si>
  <si>
    <t>R$</t>
  </si>
  <si>
    <t>ok</t>
  </si>
  <si>
    <t>Total da FR 1759</t>
  </si>
  <si>
    <t>Total da FR 1760</t>
  </si>
  <si>
    <t>TOTAL</t>
  </si>
  <si>
    <t xml:space="preserve">Proposta Orçamentária 2027  -  QUADRO DETALHADO DA DESPESA/TJ </t>
  </si>
  <si>
    <t>Reajuste Serv</t>
  </si>
  <si>
    <t xml:space="preserve">                                                                                             RECURSOS DO TESOURO</t>
  </si>
  <si>
    <t>DESPESA</t>
  </si>
  <si>
    <t>DESPESA/m</t>
  </si>
  <si>
    <t>FIXADA/2023</t>
  </si>
  <si>
    <t>BASE EXEC/2023</t>
  </si>
  <si>
    <t xml:space="preserve">0014 - Prestação Jurisdicional do 1º Grau </t>
  </si>
  <si>
    <r>
      <t>P</t>
    </r>
    <r>
      <rPr>
        <b/>
        <u/>
        <sz val="8"/>
        <rFont val="Arial"/>
        <family val="2"/>
        <charset val="1"/>
      </rPr>
      <t>ESSOAL E ENCARGOS</t>
    </r>
  </si>
  <si>
    <t xml:space="preserve">3.1.90.11 - Vencimentos e Vantagens Fixas  </t>
  </si>
  <si>
    <t>1500</t>
  </si>
  <si>
    <t xml:space="preserve">3.1.90.13 - Obrigações Patronais </t>
  </si>
  <si>
    <t>3.1.90.16 - Outras Despesas Variaveis - Pessoal Civil  (Mutirão)</t>
  </si>
  <si>
    <t>3.1.90.92 - Despesas Exercícios Anteriores</t>
  </si>
  <si>
    <t xml:space="preserve">3.1.90.94 - Indeniz. e Restituições Trabalhistas  </t>
  </si>
  <si>
    <t>3.1.90.96 - Ressarcimento Pessoal Requisitado</t>
  </si>
  <si>
    <t>Sub-total - 3.1.90.00.00</t>
  </si>
  <si>
    <t xml:space="preserve">3.1.91.13 - Obrigações Patronais  </t>
  </si>
  <si>
    <t>Sub-total - 3.1.91.00.00</t>
  </si>
  <si>
    <t>OUTRAS DESP CORRENTES</t>
  </si>
  <si>
    <t xml:space="preserve">3.3.90.14 - Diárias                            </t>
  </si>
  <si>
    <t>3.3.90.31 - Premiação</t>
  </si>
  <si>
    <t>3.3.90.36 - Outros Serviços Terceiros - PF (ESTAGIÁRIOS)</t>
  </si>
  <si>
    <t>3.3.90.92 - Despesas Exercícios Anteriores</t>
  </si>
  <si>
    <t>Sub-total - 3.3.90.00.00</t>
  </si>
  <si>
    <t>Obrigatória  3.1</t>
  </si>
  <si>
    <t xml:space="preserve">0013 - Prestação Jurisdicional do 2º Grau </t>
  </si>
  <si>
    <r>
      <rPr>
        <sz val="11"/>
        <color rgb="FF000000"/>
        <rFont val="Arial"/>
      </rPr>
      <t xml:space="preserve">3.1.90.16 - Outras Despesas Variaveis - </t>
    </r>
    <r>
      <rPr>
        <sz val="9"/>
        <color rgb="FF000000"/>
        <rFont val="Arial"/>
      </rPr>
      <t>Pessoal Civil  (Mutirão/hora aula/Premiação)</t>
    </r>
  </si>
  <si>
    <t>3.1.90.92 - Despesas de  Exercícios Anteriores</t>
  </si>
  <si>
    <t xml:space="preserve">3.1.90.94 - Indenizações e Restituições Trabalhistas  </t>
  </si>
  <si>
    <t>3.1.90.96 - Ressarcimento de  Pessoal Requisitado</t>
  </si>
  <si>
    <t xml:space="preserve">3.1.91.13 - Obrigações Patronais </t>
  </si>
  <si>
    <t>3.3.90.36 - Outros Serviços Terceiros - PF (Estagiários)</t>
  </si>
  <si>
    <t>3.3.90.92 - Despesas Exercícios Anteriores - DEA</t>
  </si>
  <si>
    <t>Obrigatória 3.1</t>
  </si>
  <si>
    <r>
      <rPr>
        <b/>
        <sz val="11"/>
        <rFont val="Arial"/>
        <family val="2"/>
        <charset val="1"/>
      </rPr>
      <t xml:space="preserve">0015 - </t>
    </r>
    <r>
      <rPr>
        <b/>
        <sz val="9"/>
        <rFont val="Arial"/>
        <family val="2"/>
        <charset val="1"/>
      </rPr>
      <t>ESCOLA JUDICIAL DO ESTADO DE SERGIPE – EJUSE</t>
    </r>
  </si>
  <si>
    <t xml:space="preserve">3.3.90.14 - Diárias                             </t>
  </si>
  <si>
    <r>
      <rPr>
        <b/>
        <sz val="11"/>
        <color rgb="FF000000"/>
        <rFont val="Arial"/>
      </rPr>
      <t xml:space="preserve">0017 - </t>
    </r>
    <r>
      <rPr>
        <b/>
        <sz val="8"/>
        <color rgb="FF000000"/>
        <rFont val="Arial"/>
      </rPr>
      <t>IMPLEMENTAÇÃO DAS AÇÕES DA CORREGEDORIA GERAL DE JUSTIÇA</t>
    </r>
  </si>
  <si>
    <t>3.3.90.30 - Material de Consumo</t>
  </si>
  <si>
    <t>3.3.90.33 - Passagens e Despesas com Locomoção</t>
  </si>
  <si>
    <t>Sub-total -4.4.90.00</t>
  </si>
  <si>
    <t>02.272.0042</t>
  </si>
  <si>
    <r>
      <rPr>
        <b/>
        <sz val="11"/>
        <color rgb="FF000000"/>
        <rFont val="Arial"/>
      </rPr>
      <t xml:space="preserve">0144 - </t>
    </r>
    <r>
      <rPr>
        <b/>
        <sz val="9"/>
        <color rgb="FF000000"/>
        <rFont val="Arial"/>
      </rPr>
      <t>APORTE PARA</t>
    </r>
    <r>
      <rPr>
        <b/>
        <sz val="11"/>
        <color rgb="FF000000"/>
        <rFont val="Arial"/>
      </rPr>
      <t xml:space="preserve"> </t>
    </r>
    <r>
      <rPr>
        <b/>
        <sz val="9"/>
        <color rgb="FF000000"/>
        <rFont val="Arial"/>
      </rPr>
      <t>Cobertura do Déficit Previdenciário FINANCEIRO DO RPPS/SE</t>
    </r>
  </si>
  <si>
    <t>3.1.91.13 - Obrigaçãoes Patronais</t>
  </si>
  <si>
    <r>
      <rPr>
        <b/>
        <sz val="11"/>
        <rFont val="Arial"/>
        <family val="2"/>
        <charset val="1"/>
      </rPr>
      <t xml:space="preserve">0141 - </t>
    </r>
    <r>
      <rPr>
        <b/>
        <sz val="9"/>
        <rFont val="Arial"/>
        <family val="2"/>
        <charset val="1"/>
      </rPr>
      <t xml:space="preserve">MANUTENÇÃO DOS SERVIÇOS ADMINISTRATIVOS </t>
    </r>
  </si>
  <si>
    <t xml:space="preserve">3.1.90.11 - Vencimentos e  Vantagens Fixas  </t>
  </si>
  <si>
    <t>3.1.90.16 - Outras Despesas Variaveis - Pessoal Civil  (Mutirão e Premiação)</t>
  </si>
  <si>
    <t>3.1.90.92 - Despesas Exerc. Anteriores</t>
  </si>
  <si>
    <t xml:space="preserve">3.1.90.94- Indeniz. e Rest. Trabalhistas  </t>
  </si>
  <si>
    <t>3.1.90.96 - Ressarcimento P Requisitado</t>
  </si>
  <si>
    <t xml:space="preserve">3.3.90.14 - Diárias                                        </t>
  </si>
  <si>
    <t>3.3.90.33 - Passagens Despesas com Locomoção</t>
  </si>
  <si>
    <t>3.3.90.36 - Outros Serv. Terceiros - PF (ESTAGIÁRIOS)</t>
  </si>
  <si>
    <t>3.3.90.47 – Obrigações Tributárias e Contributivas</t>
  </si>
  <si>
    <t>3.3.90.92 - Despesas Exerc. Anteriores</t>
  </si>
  <si>
    <t xml:space="preserve">3.3.91.39 - Outros Serviços Terceiros -PJ  </t>
  </si>
  <si>
    <t>Sub-total – 3.3.91.00.00</t>
  </si>
  <si>
    <t>1210 -  Aparelhamento das Unidades Administrativas do PJ</t>
  </si>
  <si>
    <t>Sub-total - 4.4.90.00</t>
  </si>
  <si>
    <t>Obrigatória  3.3</t>
  </si>
  <si>
    <t>1218 - Modernização e Melhoramento das Edificações do PJ</t>
  </si>
  <si>
    <t>4.4.90.51 - Equipamento e Material Permanente</t>
  </si>
  <si>
    <t>1219 - Modernização e Expansão da Infraestrutra de TI do PJ</t>
  </si>
  <si>
    <t>1298 - Gestão de Auxílios e Benefícios Assistenciais do 1º Grau</t>
  </si>
  <si>
    <t>3.3.90.08 - Outros Benefícios Assitências (Auxílio Funeral)</t>
  </si>
  <si>
    <t>3.3.90.49 - Auxílio Transporte</t>
  </si>
  <si>
    <t>3.3.90.93 - Indenizações e Restituições</t>
  </si>
  <si>
    <t>3.3.90.93.04 - Indenização de Transporte</t>
  </si>
  <si>
    <t xml:space="preserve">Sub-total - 3.3.90.00.00 </t>
  </si>
  <si>
    <t>1300 - Gestão de Auxílios e Benefícios Assistenciais do 2º Grau</t>
  </si>
  <si>
    <t>1301 - Gestão de Auxílios e Benefícios Assistenciais da Área Administrativa</t>
  </si>
  <si>
    <t xml:space="preserve">3.3.90.08 - Outros Benefícios Assitências </t>
  </si>
  <si>
    <t>1304 - Manutenção das Atividades da Justiça Restaurativa -  NUPEJURE</t>
  </si>
  <si>
    <t>Sub-total - 3.3.90.00</t>
  </si>
  <si>
    <t>1305 - Manutenção das Atividades do Núcleo Permanente de Métodos Consensuais de Solução e Conflitos - NUPEMEC</t>
  </si>
  <si>
    <t>1302 - Manutenção das Atividades da Coordenadoria da Infância e da Juventude</t>
  </si>
  <si>
    <t>1303 - Manutenção das Atividades da Coordenadoria da Mulher</t>
  </si>
  <si>
    <t>TOTAL GERAL</t>
  </si>
  <si>
    <t>T O T A L</t>
  </si>
  <si>
    <t>SECRETARIA DE FINANCAS E ORÇAMENTO - SEFINOR</t>
  </si>
  <si>
    <t xml:space="preserve">RECURSOS DO FERD </t>
  </si>
  <si>
    <t>AÇÕES ORÇAMENTÁRIAS</t>
  </si>
  <si>
    <t>DESPESA PREVISTA/2027</t>
  </si>
  <si>
    <t>Prestação Juridicional do 1º Grau</t>
  </si>
  <si>
    <t>Gestão de Auxílios e Benefícios Assistenciais do 1º Grau</t>
  </si>
  <si>
    <t>Prestação Juridicional do 2º Grau</t>
  </si>
  <si>
    <t>Gestão de Auxílios e Benefícios Assistenciais do 2º Grau</t>
  </si>
  <si>
    <t>Manutenção dos Serviços Administrativos</t>
  </si>
  <si>
    <t>Gestão de Auxílios e Benefícios Assistenciais da Área Administrativa</t>
  </si>
  <si>
    <t>Fundo de Apoio ao Registro Civil</t>
  </si>
  <si>
    <t>Ampliação de Unidades do Poder Judiciário</t>
  </si>
  <si>
    <t>Construção de Unidades do Poder Judiciário</t>
  </si>
  <si>
    <t>Reforma de Unidades do Poder Judiciário</t>
  </si>
  <si>
    <t>Gestão e Manutenção Predial das Unidades do PJ</t>
  </si>
  <si>
    <t>Aparelhamento das Unidades Administrativas do Poder Judiciário</t>
  </si>
  <si>
    <t>Gestão e Manutenção das Ações de Segurança Institucional do PJ</t>
  </si>
  <si>
    <t>Manutenção da Tecnologia e Informação</t>
  </si>
  <si>
    <t>Ampliação do Parque Computacional do Poder Judiciário</t>
  </si>
  <si>
    <t>Escola Judicial do Estado de Sergipe</t>
  </si>
  <si>
    <t xml:space="preserve">Segurança da Informação e Cibernética do Poder Judiciário </t>
  </si>
  <si>
    <r>
      <rPr>
        <b/>
        <sz val="14"/>
        <color rgb="FF000000"/>
        <rFont val="Calibri"/>
        <family val="2"/>
        <charset val="1"/>
      </rPr>
      <t xml:space="preserve">DISTRIBUIÇÃO DO ORÇAMENTO FERD - </t>
    </r>
    <r>
      <rPr>
        <b/>
        <sz val="11"/>
        <color rgb="FF000000"/>
        <rFont val="Calibri"/>
        <family val="2"/>
        <charset val="1"/>
      </rPr>
      <t>Resolução 195/CNJ, art 2º</t>
    </r>
  </si>
  <si>
    <t>REPRESENTATIVIDADE</t>
  </si>
  <si>
    <t>Participação do 1º Grau</t>
  </si>
  <si>
    <t>Participação do 2º Grau</t>
  </si>
  <si>
    <t>Total da Prestação Jurisdicional do 1º e 2º Grau</t>
  </si>
  <si>
    <t>PEDRO VIEIRA SANTOS</t>
  </si>
  <si>
    <t>SECRETÁRIO DE FINANÇAS E ORÇAMENTO</t>
  </si>
  <si>
    <t>RECURSOS DO TESOURO</t>
  </si>
  <si>
    <t>Implementação das Ações da Corregedoria Geral de Justiça</t>
  </si>
  <si>
    <t>Gestão de Auxílios e Benefícios Assistênciais do 1º Grau</t>
  </si>
  <si>
    <t>Gestão de Auxílios e Benefícios Assistênciais do 2º Grau</t>
  </si>
  <si>
    <t>Gestão de Auxílios e Benefícios Assistênciais da Área Administrativa</t>
  </si>
  <si>
    <t>Manutenção das Atividades da Coordenadoria da Infância e da Juventude</t>
  </si>
  <si>
    <t>Manutenção das Atividades da Coordenadoria da Mulher</t>
  </si>
  <si>
    <t>Manutenção das Atividades da Justiça Restaurativa - NUPEJURE</t>
  </si>
  <si>
    <t>Manutenção das Atividades do Núcleo Permanente de Métodos Consensuais de Solução e Conflito - NUPEMEC</t>
  </si>
  <si>
    <t>Aporte p/ Cobertura do Déficit Previdenciário Financeiro do RPPS/SE</t>
  </si>
  <si>
    <t>Modernização e Melhoramento das Edificações do Poder Judiciário</t>
  </si>
  <si>
    <t>Modernização e Expansão da Infraestrutra de TI do Poder Judiciário</t>
  </si>
  <si>
    <t>DISTRIBUIÇÃO DO ORÇAMENTO TJ - Resolução 195/CNJ, art 2º</t>
  </si>
  <si>
    <t>PROPOSTA ORÇAMENTÁRIA 2027</t>
  </si>
  <si>
    <t>Ações Orçamentárias</t>
  </si>
  <si>
    <t>Recursos do Tesouro</t>
  </si>
  <si>
    <t>Recursos do Ferd</t>
  </si>
  <si>
    <t>Total Geral</t>
  </si>
  <si>
    <t>Construção de Unidades do Poder Juduciário</t>
  </si>
  <si>
    <t>Segurança da Informação e Cibernética do Poder Judiciário</t>
  </si>
  <si>
    <t>Gestão e Manutenção Predial das Unidades do Poder Judiciário</t>
  </si>
  <si>
    <t>Gestão e Manutenção das Ações de Segurança Institucional do Poder Judiciário</t>
  </si>
  <si>
    <t>DISTRIBUIÇÃO DO ORÇAMENTO TJ E FERD - Resolução 195/CNJ, art 2º</t>
  </si>
  <si>
    <t>UNIDADE ORÇAMENTÁRIA</t>
  </si>
  <si>
    <t>FUNÇÃO</t>
  </si>
  <si>
    <t>SUBFUNÇÃO</t>
  </si>
  <si>
    <t>PROGRAMA</t>
  </si>
  <si>
    <t>PJ/AT</t>
  </si>
  <si>
    <t>ESPECIFICAÇÃO</t>
  </si>
  <si>
    <t>GRUPO DE DESPESA</t>
  </si>
  <si>
    <t>VALOR PROPOSTO</t>
  </si>
  <si>
    <t>101 TRIBUNAL DE JUSTIÇA</t>
  </si>
  <si>
    <t>02</t>
  </si>
  <si>
    <t>061</t>
  </si>
  <si>
    <t>0013</t>
  </si>
  <si>
    <t>3.1.00.00</t>
  </si>
  <si>
    <t>3.3.00.00</t>
  </si>
  <si>
    <t>0014</t>
  </si>
  <si>
    <t>128</t>
  </si>
  <si>
    <t>0015</t>
  </si>
  <si>
    <t>0017</t>
  </si>
  <si>
    <t>4.4.00.00</t>
  </si>
  <si>
    <t>122</t>
  </si>
  <si>
    <t>0040</t>
  </si>
  <si>
    <t>0141</t>
  </si>
  <si>
    <t>272</t>
  </si>
  <si>
    <t>0042</t>
  </si>
  <si>
    <t>0144</t>
  </si>
  <si>
    <t>Aporte p/ Cobertura de Défict Previdenciário Financeiro do RPPS/SE</t>
  </si>
  <si>
    <t>1210</t>
  </si>
  <si>
    <t>1218</t>
  </si>
  <si>
    <t>126</t>
  </si>
  <si>
    <t>1219</t>
  </si>
  <si>
    <t>1298</t>
  </si>
  <si>
    <t>1300</t>
  </si>
  <si>
    <t>1301</t>
  </si>
  <si>
    <t>1302</t>
  </si>
  <si>
    <t>1303</t>
  </si>
  <si>
    <t>1304</t>
  </si>
  <si>
    <t>1305</t>
  </si>
  <si>
    <t>SUBTOTAL (I)</t>
  </si>
  <si>
    <t>401 FUNDO ESPECIAL DE RECURSOS DE DESPESAS - FERD</t>
  </si>
  <si>
    <t>0003</t>
  </si>
  <si>
    <t>0005</t>
  </si>
  <si>
    <t>0007</t>
  </si>
  <si>
    <t>0009</t>
  </si>
  <si>
    <t>0010</t>
  </si>
  <si>
    <t>0011</t>
  </si>
  <si>
    <t>0012</t>
  </si>
  <si>
    <t>0124</t>
  </si>
  <si>
    <t>Segurança da informação e Cibernética do Poder Judiciário</t>
  </si>
  <si>
    <t>1293</t>
  </si>
  <si>
    <t>1294</t>
  </si>
  <si>
    <t>1295</t>
  </si>
  <si>
    <t>SUBTOTAL (II)</t>
  </si>
  <si>
    <t>TOTAL GERAL (I+II)</t>
  </si>
  <si>
    <t>DEMONSTRATIVO DA DESPESA POR GRUPO</t>
  </si>
  <si>
    <t>CÓDIGO</t>
  </si>
  <si>
    <t>TESOURO</t>
  </si>
  <si>
    <t>FERD</t>
  </si>
  <si>
    <t>Pessoal e Encargos Sociais</t>
  </si>
  <si>
    <t>Outras Despesas Correntes</t>
  </si>
  <si>
    <t>Investimentos</t>
  </si>
  <si>
    <t>Proposta da Previsão da Receita para 2026</t>
  </si>
  <si>
    <t>Fonte 1759</t>
  </si>
  <si>
    <t>Receita</t>
  </si>
  <si>
    <t>Valor Previsão Orçamento 2026</t>
  </si>
  <si>
    <t>Taxas pela Prestação de Serviços em Geral</t>
  </si>
  <si>
    <t>Taxas Judiciais</t>
  </si>
  <si>
    <t>Aluguéis e Arrendamentos</t>
  </si>
  <si>
    <t>Remuneração de Depósitos Bancários</t>
  </si>
  <si>
    <t>Serviços Administrativos e Comerciais Gerais</t>
  </si>
  <si>
    <t>Participação no Orçamento por FR</t>
  </si>
  <si>
    <t>Outras Receitas</t>
  </si>
  <si>
    <t>Fonte 1760</t>
  </si>
  <si>
    <t>Emolumentos e Custas Judiciais</t>
  </si>
  <si>
    <t>Emolumentos e Custas Judiciais – Dívida Ativa</t>
  </si>
  <si>
    <t>Emol. e Custas Judiciais – Dívida Ativa – Juros</t>
  </si>
  <si>
    <t>ESPECIFICAÇÃO DAS RECEITAS</t>
  </si>
  <si>
    <t>RECURSOS DE TODAS AS FONTES</t>
  </si>
  <si>
    <t>FONTE DE RECURSO</t>
  </si>
  <si>
    <t>Remuneração de Depósitos Bancários - Principal</t>
  </si>
  <si>
    <t>Emolumentos e Custas Judicias - Principal</t>
  </si>
  <si>
    <t>Emolumentos e Custas Judiciais - Dívida Ativa</t>
  </si>
  <si>
    <t>Emolumentos e Custas Judiciais - Dívida Ativa - Multas e Juros de Mora de Dívida Ativa</t>
  </si>
  <si>
    <t>Aluguéis e Arrendamentos - Principal</t>
  </si>
  <si>
    <t>Serviços Administrativos e Comerciais Gerais - Principal</t>
  </si>
  <si>
    <t>Outras Receitas Não Arrecadadas e Não Projetadas pela RFB - Primarias - Principal</t>
  </si>
  <si>
    <t>Taxas Judiciais - Principal</t>
  </si>
  <si>
    <t>PODER JUDICIÁRIO</t>
  </si>
  <si>
    <r>
      <t>ÓRGÃO:</t>
    </r>
    <r>
      <rPr>
        <b/>
        <sz val="10"/>
        <rFont val="Arial"/>
        <family val="2"/>
        <charset val="1"/>
      </rPr>
      <t>TRIBUNAL DE JUSTIÇA DE SERGIPE</t>
    </r>
  </si>
  <si>
    <t>QUADRO DE DETALHAMENTO DA DESPESA</t>
  </si>
  <si>
    <t xml:space="preserve">PROPOSTA ORÇAMENTÁRIA PARA O ANO DE 2027 </t>
  </si>
  <si>
    <t>Distribuição dos Recursos entre os Graus de Jurisdição (RESOLUÇÃO 195 CNJ, art. 4º)</t>
  </si>
  <si>
    <t>Classificação Orçamentária</t>
  </si>
  <si>
    <t>Dotação Distribuída</t>
  </si>
  <si>
    <t>Unidade Orçamentária</t>
  </si>
  <si>
    <t>Função e Subfunção
(Código)</t>
  </si>
  <si>
    <t>Programa, Ação e Subtítulo
(Código)</t>
  </si>
  <si>
    <t>Descrição</t>
  </si>
  <si>
    <t>Esfera</t>
  </si>
  <si>
    <t>Fonte</t>
  </si>
  <si>
    <t>GND</t>
  </si>
  <si>
    <t>1º Grau</t>
  </si>
  <si>
    <t>2º Grau</t>
  </si>
  <si>
    <t>1º e 2º Graus (1)</t>
  </si>
  <si>
    <t>Código</t>
  </si>
  <si>
    <t>Programa</t>
  </si>
  <si>
    <t>Ação e Subtítulo</t>
  </si>
  <si>
    <t>A</t>
  </si>
  <si>
    <t>B</t>
  </si>
  <si>
    <t>C</t>
  </si>
  <si>
    <t>D=A+B+C</t>
  </si>
  <si>
    <t>Dotações para Despesas Obrigatórias  (2)</t>
  </si>
  <si>
    <t>05.101</t>
  </si>
  <si>
    <t>Tribunal de Justiça</t>
  </si>
  <si>
    <t>02.061</t>
  </si>
  <si>
    <t>0006.0014</t>
  </si>
  <si>
    <t>Justiça</t>
  </si>
  <si>
    <t>Prestação Jurisdicional do 1º Grau</t>
  </si>
  <si>
    <t>1</t>
  </si>
  <si>
    <t xml:space="preserve">Recursos não Vinculados de Impostos </t>
  </si>
  <si>
    <t>02.122</t>
  </si>
  <si>
    <t>0040.1298</t>
  </si>
  <si>
    <t>Gestão e Manutenção do TJ</t>
  </si>
  <si>
    <t>Gestão de Auxílios e Benefícios Assitênciais do 1º Grau</t>
  </si>
  <si>
    <t>3</t>
  </si>
  <si>
    <t>0006.0013</t>
  </si>
  <si>
    <t>Prestação Jurisdicional do 2º Grau</t>
  </si>
  <si>
    <t>0040.1300</t>
  </si>
  <si>
    <t>Gestão de Auxílios e Benefícios Assitênciais do 2º Grau</t>
  </si>
  <si>
    <t>0040.0141</t>
  </si>
  <si>
    <t>0040.1301</t>
  </si>
  <si>
    <t>Gestão de Auxílios e Benefícios Assitênciais da Área Administrativa</t>
  </si>
  <si>
    <t>02.128</t>
  </si>
  <si>
    <t>0006.0015</t>
  </si>
  <si>
    <t>Escola Judicial do Estado de Sergipe – EJUSE</t>
  </si>
  <si>
    <t>0006.0017</t>
  </si>
  <si>
    <t>02.272</t>
  </si>
  <si>
    <t>0042.0144</t>
  </si>
  <si>
    <t>Encargos de Natureza Especial</t>
  </si>
  <si>
    <t>Aporte para Cobertura de Déficit Previdenciário Financeiro do RPPS/SE</t>
  </si>
  <si>
    <t>05.401</t>
  </si>
  <si>
    <t>Fundo Especial de Recursos de Despesas</t>
  </si>
  <si>
    <t>0040.1293</t>
  </si>
  <si>
    <t xml:space="preserve">Recursos Vinculados a Fundos </t>
  </si>
  <si>
    <t>0040.1294</t>
  </si>
  <si>
    <t xml:space="preserve">Recursos de Emolumentos, Taxas e Custas </t>
  </si>
  <si>
    <t>0040.1295</t>
  </si>
  <si>
    <t>0006.0007</t>
  </si>
  <si>
    <t>Total das Dotações para Despesas Obrigatórias</t>
  </si>
  <si>
    <t>Dotações para Despesas Discricionárias</t>
  </si>
  <si>
    <t>4</t>
  </si>
  <si>
    <t>0006.0010</t>
  </si>
  <si>
    <t>0006.0005</t>
  </si>
  <si>
    <t>0006.0011</t>
  </si>
  <si>
    <t>0006.0004</t>
  </si>
  <si>
    <t>0040.0135</t>
  </si>
  <si>
    <t>Manutenção  dos Serviços Administrativos</t>
  </si>
  <si>
    <t>0006.0012</t>
  </si>
  <si>
    <t>Aparelhamento das Unidades do Poder Judiciário</t>
  </si>
  <si>
    <t>0006.0006</t>
  </si>
  <si>
    <t>0006.0009</t>
  </si>
  <si>
    <t>02.126</t>
  </si>
  <si>
    <t>0006.0003</t>
  </si>
  <si>
    <t>0006.0008</t>
  </si>
  <si>
    <t>0006.0124</t>
  </si>
  <si>
    <t>0040.1296</t>
  </si>
  <si>
    <t>Recursos Vinculados a Fundos</t>
  </si>
  <si>
    <t>0040.1297</t>
  </si>
  <si>
    <t>Gestão e Manutenção das Ações de Segurança Intitucional do Poder Judiciário</t>
  </si>
  <si>
    <t>0006.1210</t>
  </si>
  <si>
    <t>0006.1218</t>
  </si>
  <si>
    <t>Modernização e Melhoramento das Edificações do PJ</t>
  </si>
  <si>
    <t>0006.1219</t>
  </si>
  <si>
    <t>Modernização e Expansão da Infraestrutra de TI do PJ</t>
  </si>
  <si>
    <t>0006.1302</t>
  </si>
  <si>
    <t>0006.1303</t>
  </si>
  <si>
    <t>0006.1304</t>
  </si>
  <si>
    <t>0006.1305</t>
  </si>
  <si>
    <t>Total das Dotações para Despesas Discricionárias</t>
  </si>
  <si>
    <t>(1) O preenchimanto desta coluna é de caráter excepcional. Ocorre quando a dotação atender a ambos os graus de jurisdição sem possibilidade de detalhamento.</t>
  </si>
  <si>
    <t>(2) Despesas obrigatórias: Decorrentes de obrigações constitucionais e legais, tais como: Pessoal e encargos sociais, benefícios (alimentação, transporte, pré-escola e assistência médica) e sentenças judicias.</t>
  </si>
  <si>
    <t>Obs.:</t>
  </si>
  <si>
    <t>A publicação deste QDD é exigida quando a identificação das dotações por grau de jurisdição não for feita na Proposta Orçamentária e na Lei Orçamentária Anual (Res. 195, art. 2º, § 2º).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</si>
</sst>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d/mm/yy"/>
    <numFmt numFmtId="165" formatCode="#,##0.00_);[Red]\(#,##0.00\)"/>
    <numFmt numFmtId="166" formatCode="#,##0.00_ ;[Red]\-#,##0.00\ "/>
    <numFmt numFmtId="167" formatCode="0.0%"/>
    <numFmt numFmtId="168" formatCode="_-* #,##0.00_-;\-* #,##0.00_-;_-* \-??_-;_-@_-"/>
    <numFmt numFmtId="169" formatCode="_(* #,##0_);_(* \(#,##0\);_(* \-??_);_(@_)"/>
    <numFmt numFmtId="170" formatCode="0.0000"/>
  </numFmts>
  <fonts count="99">
    <font>
      <sz val="10"/>
      <name val="Arial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8"/>
      <color rgb="FF333399"/>
      <name val="Cambria"/>
      <family val="2"/>
      <charset val="1"/>
    </font>
    <font>
      <b/>
      <sz val="7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b/>
      <sz val="11"/>
      <name val="Arial"/>
      <family val="2"/>
      <charset val="1"/>
    </font>
    <font>
      <sz val="12"/>
      <color rgb="FF4472C4"/>
      <name val="Arial"/>
      <family val="2"/>
      <charset val="1"/>
    </font>
    <font>
      <sz val="8"/>
      <color rgb="FF4472C4"/>
      <name val="Arial"/>
      <family val="2"/>
      <charset val="1"/>
    </font>
    <font>
      <sz val="9"/>
      <color rgb="FF4472C4"/>
      <name val="Arial"/>
      <family val="2"/>
      <charset val="1"/>
    </font>
    <font>
      <sz val="10"/>
      <color rgb="FFFF0000"/>
      <name val="Arial"/>
      <family val="2"/>
      <charset val="1"/>
    </font>
    <font>
      <b/>
      <sz val="8"/>
      <color rgb="FFFF7B59"/>
      <name val="Arial"/>
      <family val="2"/>
      <charset val="1"/>
    </font>
    <font>
      <sz val="10"/>
      <color rgb="FF4472C4"/>
      <name val="Arial"/>
      <family val="2"/>
      <charset val="1"/>
    </font>
    <font>
      <sz val="10"/>
      <color rgb="FF0070C0"/>
      <name val="Arial"/>
      <family val="2"/>
      <charset val="1"/>
    </font>
    <font>
      <b/>
      <sz val="8"/>
      <color rgb="FF069A2E"/>
      <name val="Arial"/>
      <family val="2"/>
      <charset val="1"/>
    </font>
    <font>
      <sz val="10"/>
      <color rgb="FF2E75B6"/>
      <name val="Arial"/>
      <family val="2"/>
      <charset val="1"/>
    </font>
    <font>
      <b/>
      <u/>
      <sz val="10"/>
      <name val="Arial"/>
      <family val="2"/>
      <charset val="1"/>
    </font>
    <font>
      <b/>
      <sz val="10"/>
      <color rgb="FF4472C4"/>
      <name val="Arial"/>
      <family val="2"/>
      <charset val="1"/>
    </font>
    <font>
      <b/>
      <sz val="9"/>
      <color rgb="FFFF0000"/>
      <name val="Arial"/>
      <family val="2"/>
      <charset val="1"/>
    </font>
    <font>
      <sz val="11"/>
      <color rgb="FF4472C4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color rgb="FF2E75B6"/>
      <name val="Arial"/>
      <family val="2"/>
      <charset val="1"/>
    </font>
    <font>
      <b/>
      <sz val="9"/>
      <color rgb="FFFF7B59"/>
      <name val="Arial"/>
      <family val="2"/>
      <charset val="1"/>
    </font>
    <font>
      <b/>
      <sz val="9"/>
      <color rgb="FF069A2E"/>
      <name val="Arial"/>
      <family val="2"/>
      <charset val="1"/>
    </font>
    <font>
      <b/>
      <sz val="11"/>
      <color rgb="FF4472C4"/>
      <name val="Arial"/>
      <family val="2"/>
      <charset val="1"/>
    </font>
    <font>
      <sz val="9"/>
      <name val="Arial"/>
      <family val="2"/>
      <charset val="1"/>
    </font>
    <font>
      <sz val="10"/>
      <color rgb="FFC9211E"/>
      <name val="Arial"/>
      <family val="2"/>
      <charset val="1"/>
    </font>
    <font>
      <sz val="11"/>
      <color rgb="FF4472C4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u/>
      <sz val="10"/>
      <color rgb="FF4472C4"/>
      <name val="Arial"/>
      <family val="2"/>
      <charset val="1"/>
    </font>
    <font>
      <b/>
      <sz val="10"/>
      <color rgb="FFFF4000"/>
      <name val="Arial"/>
      <family val="2"/>
      <charset val="1"/>
    </font>
    <font>
      <b/>
      <sz val="10"/>
      <color rgb="FF5983B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name val="Arial"/>
      <family val="2"/>
      <charset val="1"/>
    </font>
    <font>
      <sz val="7"/>
      <name val="Arial"/>
      <family val="2"/>
      <charset val="1"/>
    </font>
    <font>
      <sz val="8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FF0000"/>
      <name val="Arial"/>
      <family val="2"/>
      <charset val="1"/>
    </font>
    <font>
      <b/>
      <u/>
      <sz val="12"/>
      <name val="Arial"/>
      <family val="2"/>
      <charset val="1"/>
    </font>
    <font>
      <sz val="8"/>
      <color rgb="FF0000FF"/>
      <name val="Arial"/>
      <family val="2"/>
      <charset val="1"/>
    </font>
    <font>
      <sz val="8"/>
      <color rgb="FF4472C4"/>
      <name val="Arial"/>
    </font>
    <font>
      <sz val="9"/>
      <color rgb="FF4472C4"/>
      <name val="Arial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</font>
    <font>
      <b/>
      <sz val="12"/>
      <color rgb="FF000000"/>
      <name val="Arial"/>
    </font>
    <font>
      <b/>
      <sz val="13.5"/>
      <color rgb="FF000000"/>
      <name val="Calibri"/>
      <charset val="1"/>
    </font>
    <font>
      <sz val="10"/>
      <name val="Calibri"/>
      <charset val="1"/>
    </font>
    <font>
      <b/>
      <sz val="10"/>
      <color rgb="FF000000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sz val="12"/>
      <name val="Arial"/>
    </font>
    <font>
      <sz val="12"/>
      <color rgb="FF000000"/>
      <name val="Arial"/>
    </font>
    <font>
      <sz val="12"/>
      <color rgb="FF000000"/>
      <name val="Arial"/>
      <charset val="1"/>
    </font>
    <font>
      <sz val="12"/>
      <name val="Arial"/>
      <charset val="1"/>
    </font>
    <font>
      <b/>
      <sz val="12"/>
      <name val="Arial"/>
      <charset val="1"/>
    </font>
    <font>
      <b/>
      <sz val="10"/>
      <name val="Arial"/>
    </font>
    <font>
      <sz val="10"/>
      <name val="Arial"/>
    </font>
    <font>
      <sz val="10"/>
      <color rgb="FFFFFFFF"/>
      <name val="Arial"/>
    </font>
    <font>
      <sz val="12"/>
      <color rgb="FF000000"/>
      <name val="Arial"/>
      <family val="2"/>
      <charset val="1"/>
    </font>
    <font>
      <b/>
      <sz val="9"/>
      <color rgb="FFFF0000"/>
      <name val="Arial"/>
    </font>
    <font>
      <b/>
      <sz val="10"/>
      <color rgb="FF000000"/>
      <name val="Arial"/>
    </font>
    <font>
      <sz val="10"/>
      <color rgb="FF000000"/>
      <name val="Consolas"/>
      <charset val="1"/>
    </font>
    <font>
      <sz val="8"/>
      <color theme="8"/>
      <name val="Arial"/>
      <family val="2"/>
      <charset val="1"/>
    </font>
    <font>
      <b/>
      <sz val="14"/>
      <name val="Arial"/>
      <family val="2"/>
      <charset val="1"/>
    </font>
    <font>
      <b/>
      <u/>
      <sz val="11"/>
      <name val="Arial"/>
      <family val="2"/>
      <charset val="1"/>
    </font>
    <font>
      <b/>
      <u/>
      <sz val="8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11"/>
      <color rgb="FFFF7B59"/>
      <name val="Arial"/>
      <family val="2"/>
      <charset val="1"/>
    </font>
    <font>
      <b/>
      <sz val="11"/>
      <color rgb="FF069A2E"/>
      <name val="Arial"/>
      <family val="2"/>
      <charset val="1"/>
    </font>
    <font>
      <b/>
      <sz val="16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1"/>
      <charset val="1"/>
    </font>
    <font>
      <sz val="12"/>
      <color rgb="FF000000"/>
      <name val="Arial1"/>
    </font>
    <font>
      <sz val="10"/>
      <color rgb="FFFF0000"/>
      <name val="Arial"/>
      <charset val="1"/>
    </font>
    <font>
      <sz val="12"/>
      <color rgb="FF000000"/>
      <name val="Calibri"/>
      <family val="2"/>
    </font>
    <font>
      <sz val="12"/>
      <color rgb="FF000000"/>
      <name val="Calibri"/>
    </font>
    <font>
      <sz val="11"/>
      <color rgb="FF000000"/>
      <name val="Arial"/>
      <family val="2"/>
      <charset val="1"/>
    </font>
    <font>
      <sz val="11"/>
      <color rgb="FF000000"/>
      <name val="Arial"/>
    </font>
    <font>
      <sz val="9"/>
      <color rgb="FF000000"/>
      <name val="Arial"/>
    </font>
    <font>
      <b/>
      <sz val="10"/>
      <name val="Arial"/>
      <charset val="1"/>
    </font>
    <font>
      <sz val="72"/>
      <name val="Arial"/>
      <charset val="1"/>
    </font>
    <font>
      <sz val="6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b/>
      <sz val="10"/>
      <color theme="0"/>
      <name val="Arial"/>
      <family val="2"/>
      <charset val="1"/>
    </font>
    <font>
      <b/>
      <sz val="14"/>
      <color rgb="FF000000"/>
      <name val="Arial"/>
    </font>
    <font>
      <sz val="9"/>
      <name val="Arial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FFFFA6"/>
        <bgColor rgb="FFFFE699"/>
      </patternFill>
    </fill>
    <fill>
      <patternFill patternType="solid">
        <fgColor rgb="FFB4C7DC"/>
        <bgColor rgb="FFC0C0C0"/>
      </patternFill>
    </fill>
    <fill>
      <patternFill patternType="solid">
        <fgColor rgb="FFFFCC99"/>
        <bgColor rgb="FFFFD96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86AE"/>
        <bgColor rgb="FF8E86AE"/>
      </patternFill>
    </fill>
    <fill>
      <patternFill patternType="solid">
        <fgColor rgb="FFB7B3CA"/>
        <bgColor rgb="FFB7B3CA"/>
      </patternFill>
    </fill>
    <fill>
      <patternFill patternType="solid">
        <fgColor rgb="FFDEDCE6"/>
        <bgColor rgb="FFDEDCE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8">
    <xf numFmtId="0" fontId="0" fillId="0" borderId="0"/>
    <xf numFmtId="9" fontId="2" fillId="0" borderId="0" applyBorder="0" applyProtection="0"/>
    <xf numFmtId="0" fontId="1" fillId="0" borderId="0"/>
    <xf numFmtId="0" fontId="2" fillId="0" borderId="0"/>
    <xf numFmtId="0" fontId="2" fillId="0" borderId="0"/>
    <xf numFmtId="9" fontId="1" fillId="0" borderId="0" applyBorder="0" applyProtection="0"/>
    <xf numFmtId="0" fontId="2" fillId="0" borderId="0"/>
    <xf numFmtId="0" fontId="3" fillId="0" borderId="0" applyBorder="0" applyProtection="0"/>
  </cellStyleXfs>
  <cellXfs count="802">
    <xf numFmtId="0" fontId="0" fillId="0" borderId="0" xfId="0"/>
    <xf numFmtId="0" fontId="5" fillId="0" borderId="4" xfId="3" applyFont="1" applyBorder="1" applyAlignment="1">
      <alignment horizontal="center" vertical="center"/>
    </xf>
    <xf numFmtId="0" fontId="11" fillId="0" borderId="1" xfId="3" applyFont="1" applyBorder="1" applyAlignment="1">
      <alignment horizontal="left" vertical="center"/>
    </xf>
    <xf numFmtId="0" fontId="17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1" fillId="0" borderId="5" xfId="3" applyFont="1" applyBorder="1" applyAlignment="1">
      <alignment horizontal="left" vertical="center"/>
    </xf>
    <xf numFmtId="0" fontId="2" fillId="0" borderId="0" xfId="3"/>
    <xf numFmtId="0" fontId="4" fillId="0" borderId="0" xfId="3" applyFont="1" applyAlignment="1">
      <alignment horizontal="left"/>
    </xf>
    <xf numFmtId="0" fontId="5" fillId="0" borderId="0" xfId="3" applyFont="1" applyAlignment="1">
      <alignment horizontal="right"/>
    </xf>
    <xf numFmtId="164" fontId="5" fillId="0" borderId="0" xfId="3" applyNumberFormat="1" applyFont="1"/>
    <xf numFmtId="0" fontId="5" fillId="0" borderId="0" xfId="4" applyFont="1" applyAlignment="1">
      <alignment horizontal="right"/>
    </xf>
    <xf numFmtId="0" fontId="5" fillId="0" borderId="0" xfId="4" applyFont="1"/>
    <xf numFmtId="4" fontId="2" fillId="0" borderId="0" xfId="3" applyNumberFormat="1"/>
    <xf numFmtId="4" fontId="5" fillId="0" borderId="0" xfId="3" applyNumberFormat="1" applyFont="1"/>
    <xf numFmtId="4" fontId="6" fillId="0" borderId="0" xfId="3" applyNumberFormat="1" applyFont="1"/>
    <xf numFmtId="0" fontId="4" fillId="0" borderId="0" xfId="4" applyFont="1" applyAlignment="1">
      <alignment horizontal="left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/>
    </xf>
    <xf numFmtId="0" fontId="8" fillId="0" borderId="0" xfId="3" applyFont="1" applyAlignment="1">
      <alignment horizontal="left"/>
    </xf>
    <xf numFmtId="0" fontId="8" fillId="0" borderId="1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10" fontId="2" fillId="0" borderId="0" xfId="3" applyNumberFormat="1"/>
    <xf numFmtId="49" fontId="10" fillId="0" borderId="0" xfId="3" applyNumberFormat="1" applyFont="1" applyAlignment="1">
      <alignment horizontal="right"/>
    </xf>
    <xf numFmtId="49" fontId="13" fillId="0" borderId="5" xfId="3" applyNumberFormat="1" applyFont="1" applyBorder="1"/>
    <xf numFmtId="4" fontId="13" fillId="0" borderId="5" xfId="3" applyNumberFormat="1" applyFont="1" applyBorder="1"/>
    <xf numFmtId="4" fontId="13" fillId="0" borderId="5" xfId="3" applyNumberFormat="1" applyFont="1" applyBorder="1" applyAlignment="1">
      <alignment horizontal="right"/>
    </xf>
    <xf numFmtId="49" fontId="15" fillId="0" borderId="5" xfId="3" applyNumberFormat="1" applyFont="1" applyBorder="1"/>
    <xf numFmtId="4" fontId="15" fillId="0" borderId="5" xfId="3" applyNumberFormat="1" applyFont="1" applyBorder="1"/>
    <xf numFmtId="4" fontId="15" fillId="0" borderId="5" xfId="3" applyNumberFormat="1" applyFont="1" applyBorder="1" applyAlignment="1">
      <alignment horizontal="right"/>
    </xf>
    <xf numFmtId="49" fontId="15" fillId="0" borderId="0" xfId="3" applyNumberFormat="1" applyFont="1"/>
    <xf numFmtId="4" fontId="18" fillId="0" borderId="5" xfId="3" applyNumberFormat="1" applyFont="1" applyBorder="1" applyAlignment="1">
      <alignment horizontal="right"/>
    </xf>
    <xf numFmtId="0" fontId="2" fillId="0" borderId="0" xfId="3" applyAlignment="1">
      <alignment horizontal="center"/>
    </xf>
    <xf numFmtId="4" fontId="15" fillId="0" borderId="0" xfId="3" applyNumberFormat="1" applyFont="1"/>
    <xf numFmtId="4" fontId="20" fillId="0" borderId="0" xfId="3" applyNumberFormat="1" applyFont="1"/>
    <xf numFmtId="4" fontId="0" fillId="0" borderId="0" xfId="0" applyNumberFormat="1"/>
    <xf numFmtId="10" fontId="2" fillId="0" borderId="0" xfId="3" applyNumberFormat="1" applyAlignment="1">
      <alignment horizontal="center"/>
    </xf>
    <xf numFmtId="49" fontId="15" fillId="0" borderId="1" xfId="3" applyNumberFormat="1" applyFont="1" applyBorder="1"/>
    <xf numFmtId="4" fontId="15" fillId="0" borderId="1" xfId="3" applyNumberFormat="1" applyFont="1" applyBorder="1"/>
    <xf numFmtId="49" fontId="13" fillId="0" borderId="2" xfId="3" applyNumberFormat="1" applyFont="1" applyBorder="1"/>
    <xf numFmtId="4" fontId="13" fillId="2" borderId="5" xfId="3" applyNumberFormat="1" applyFont="1" applyFill="1" applyBorder="1" applyAlignment="1">
      <alignment horizontal="right"/>
    </xf>
    <xf numFmtId="4" fontId="15" fillId="0" borderId="1" xfId="3" applyNumberFormat="1" applyFont="1" applyBorder="1" applyAlignment="1">
      <alignment horizontal="right"/>
    </xf>
    <xf numFmtId="4" fontId="5" fillId="0" borderId="0" xfId="3" applyNumberFormat="1" applyFont="1" applyAlignment="1">
      <alignment horizontal="center"/>
    </xf>
    <xf numFmtId="0" fontId="25" fillId="0" borderId="4" xfId="4" applyFont="1" applyBorder="1"/>
    <xf numFmtId="4" fontId="8" fillId="0" borderId="4" xfId="3" applyNumberFormat="1" applyFont="1" applyBorder="1"/>
    <xf numFmtId="0" fontId="26" fillId="0" borderId="4" xfId="4" applyFont="1" applyBorder="1"/>
    <xf numFmtId="4" fontId="5" fillId="4" borderId="0" xfId="3" applyNumberFormat="1" applyFont="1" applyFill="1"/>
    <xf numFmtId="0" fontId="5" fillId="4" borderId="0" xfId="3" applyFont="1" applyFill="1" applyAlignment="1">
      <alignment horizontal="center"/>
    </xf>
    <xf numFmtId="0" fontId="11" fillId="0" borderId="1" xfId="3" applyFont="1" applyBorder="1" applyAlignment="1">
      <alignment vertical="center"/>
    </xf>
    <xf numFmtId="0" fontId="14" fillId="0" borderId="0" xfId="3" applyFont="1"/>
    <xf numFmtId="0" fontId="17" fillId="0" borderId="0" xfId="3" applyFont="1"/>
    <xf numFmtId="4" fontId="15" fillId="0" borderId="3" xfId="3" applyNumberFormat="1" applyFont="1" applyBorder="1"/>
    <xf numFmtId="0" fontId="17" fillId="0" borderId="7" xfId="3" applyFont="1" applyBorder="1" applyAlignment="1">
      <alignment horizontal="left"/>
    </xf>
    <xf numFmtId="0" fontId="14" fillId="0" borderId="7" xfId="3" applyFont="1" applyBorder="1"/>
    <xf numFmtId="4" fontId="13" fillId="0" borderId="0" xfId="3" applyNumberFormat="1" applyFont="1"/>
    <xf numFmtId="4" fontId="19" fillId="0" borderId="0" xfId="3" applyNumberFormat="1" applyFont="1"/>
    <xf numFmtId="0" fontId="11" fillId="0" borderId="6" xfId="3" applyFont="1" applyBorder="1" applyAlignment="1">
      <alignment vertical="center"/>
    </xf>
    <xf numFmtId="49" fontId="15" fillId="0" borderId="6" xfId="3" applyNumberFormat="1" applyFont="1" applyBorder="1"/>
    <xf numFmtId="49" fontId="13" fillId="0" borderId="6" xfId="3" applyNumberFormat="1" applyFont="1" applyBorder="1"/>
    <xf numFmtId="4" fontId="5" fillId="0" borderId="4" xfId="3" applyNumberFormat="1" applyFont="1" applyBorder="1"/>
    <xf numFmtId="0" fontId="5" fillId="0" borderId="0" xfId="3" applyFont="1"/>
    <xf numFmtId="0" fontId="13" fillId="0" borderId="9" xfId="3" applyFont="1" applyBorder="1" applyAlignment="1">
      <alignment vertical="center"/>
    </xf>
    <xf numFmtId="4" fontId="13" fillId="0" borderId="5" xfId="3" applyNumberFormat="1" applyFont="1" applyBorder="1" applyAlignment="1">
      <alignment vertical="center"/>
    </xf>
    <xf numFmtId="4" fontId="23" fillId="0" borderId="0" xfId="3" applyNumberFormat="1" applyFont="1"/>
    <xf numFmtId="0" fontId="28" fillId="0" borderId="0" xfId="3" applyFont="1" applyAlignment="1">
      <alignment horizontal="left"/>
    </xf>
    <xf numFmtId="0" fontId="2" fillId="0" borderId="0" xfId="3" applyAlignment="1">
      <alignment vertical="center"/>
    </xf>
    <xf numFmtId="0" fontId="15" fillId="0" borderId="9" xfId="3" applyFont="1" applyBorder="1" applyAlignment="1">
      <alignment vertical="center"/>
    </xf>
    <xf numFmtId="0" fontId="11" fillId="0" borderId="4" xfId="3" applyFont="1" applyBorder="1" applyAlignment="1">
      <alignment vertical="center"/>
    </xf>
    <xf numFmtId="4" fontId="2" fillId="0" borderId="0" xfId="3" applyNumberFormat="1" applyAlignment="1">
      <alignment horizontal="center"/>
    </xf>
    <xf numFmtId="4" fontId="15" fillId="0" borderId="5" xfId="3" applyNumberFormat="1" applyFont="1" applyBorder="1" applyAlignment="1">
      <alignment vertical="center"/>
    </xf>
    <xf numFmtId="0" fontId="23" fillId="0" borderId="0" xfId="3" applyFont="1" applyAlignment="1">
      <alignment horizontal="left"/>
    </xf>
    <xf numFmtId="4" fontId="23" fillId="0" borderId="0" xfId="3" applyNumberFormat="1" applyFont="1" applyAlignment="1">
      <alignment horizontal="right"/>
    </xf>
    <xf numFmtId="4" fontId="5" fillId="0" borderId="4" xfId="3" applyNumberFormat="1" applyFont="1" applyBorder="1" applyAlignment="1">
      <alignment horizontal="right"/>
    </xf>
    <xf numFmtId="0" fontId="2" fillId="2" borderId="0" xfId="3" applyFill="1"/>
    <xf numFmtId="0" fontId="5" fillId="0" borderId="4" xfId="3" applyFont="1" applyBorder="1" applyAlignment="1">
      <alignment horizontal="left"/>
    </xf>
    <xf numFmtId="4" fontId="13" fillId="0" borderId="3" xfId="3" applyNumberFormat="1" applyFont="1" applyBorder="1"/>
    <xf numFmtId="4" fontId="16" fillId="0" borderId="3" xfId="3" applyNumberFormat="1" applyFont="1" applyBorder="1"/>
    <xf numFmtId="4" fontId="13" fillId="0" borderId="2" xfId="3" applyNumberFormat="1" applyFont="1" applyBorder="1"/>
    <xf numFmtId="4" fontId="13" fillId="0" borderId="2" xfId="3" applyNumberFormat="1" applyFont="1" applyBorder="1" applyAlignment="1">
      <alignment horizontal="right"/>
    </xf>
    <xf numFmtId="0" fontId="24" fillId="0" borderId="0" xfId="3" applyFont="1" applyAlignment="1">
      <alignment horizontal="left"/>
    </xf>
    <xf numFmtId="0" fontId="5" fillId="0" borderId="0" xfId="3" applyFont="1" applyAlignment="1">
      <alignment horizontal="center" vertical="center"/>
    </xf>
    <xf numFmtId="4" fontId="24" fillId="0" borderId="0" xfId="3" applyNumberFormat="1" applyFont="1" applyAlignment="1">
      <alignment horizontal="right"/>
    </xf>
    <xf numFmtId="49" fontId="13" fillId="0" borderId="5" xfId="3" applyNumberFormat="1" applyFont="1" applyBorder="1" applyAlignment="1">
      <alignment horizontal="center"/>
    </xf>
    <xf numFmtId="49" fontId="15" fillId="0" borderId="5" xfId="3" applyNumberFormat="1" applyFont="1" applyBorder="1" applyAlignment="1">
      <alignment horizontal="center"/>
    </xf>
    <xf numFmtId="4" fontId="13" fillId="0" borderId="1" xfId="3" applyNumberFormat="1" applyFont="1" applyBorder="1"/>
    <xf numFmtId="4" fontId="15" fillId="0" borderId="10" xfId="3" applyNumberFormat="1" applyFont="1" applyBorder="1" applyAlignment="1">
      <alignment horizontal="right"/>
    </xf>
    <xf numFmtId="4" fontId="20" fillId="2" borderId="5" xfId="3" applyNumberFormat="1" applyFont="1" applyFill="1" applyBorder="1"/>
    <xf numFmtId="4" fontId="13" fillId="2" borderId="3" xfId="3" applyNumberFormat="1" applyFont="1" applyFill="1" applyBorder="1"/>
    <xf numFmtId="4" fontId="15" fillId="2" borderId="5" xfId="3" applyNumberFormat="1" applyFont="1" applyFill="1" applyBorder="1"/>
    <xf numFmtId="4" fontId="13" fillId="2" borderId="5" xfId="3" applyNumberFormat="1" applyFont="1" applyFill="1" applyBorder="1"/>
    <xf numFmtId="4" fontId="15" fillId="2" borderId="3" xfId="3" applyNumberFormat="1" applyFont="1" applyFill="1" applyBorder="1"/>
    <xf numFmtId="0" fontId="5" fillId="0" borderId="4" xfId="3" applyFont="1" applyBorder="1" applyAlignment="1">
      <alignment vertical="center"/>
    </xf>
    <xf numFmtId="0" fontId="26" fillId="0" borderId="0" xfId="4" applyFont="1"/>
    <xf numFmtId="0" fontId="30" fillId="0" borderId="5" xfId="0" applyFont="1" applyBorder="1" applyAlignment="1">
      <alignment vertical="center" wrapText="1"/>
    </xf>
    <xf numFmtId="0" fontId="31" fillId="0" borderId="8" xfId="0" applyFont="1" applyBorder="1" applyAlignment="1">
      <alignment vertical="center" wrapText="1"/>
    </xf>
    <xf numFmtId="0" fontId="15" fillId="0" borderId="5" xfId="0" applyFont="1" applyBorder="1"/>
    <xf numFmtId="0" fontId="2" fillId="0" borderId="8" xfId="0" applyFont="1" applyBorder="1"/>
    <xf numFmtId="0" fontId="11" fillId="0" borderId="3" xfId="3" applyFont="1" applyBorder="1"/>
    <xf numFmtId="4" fontId="32" fillId="0" borderId="5" xfId="3" applyNumberFormat="1" applyFont="1" applyBorder="1" applyAlignment="1">
      <alignment horizontal="right"/>
    </xf>
    <xf numFmtId="4" fontId="33" fillId="0" borderId="0" xfId="3" applyNumberFormat="1" applyFont="1"/>
    <xf numFmtId="4" fontId="34" fillId="0" borderId="0" xfId="3" applyNumberFormat="1" applyFont="1"/>
    <xf numFmtId="0" fontId="1" fillId="0" borderId="0" xfId="2"/>
    <xf numFmtId="0" fontId="35" fillId="0" borderId="0" xfId="2" applyFont="1" applyAlignment="1">
      <alignment vertical="center"/>
    </xf>
    <xf numFmtId="0" fontId="35" fillId="0" borderId="0" xfId="2" applyFont="1"/>
    <xf numFmtId="0" fontId="37" fillId="0" borderId="5" xfId="2" applyFont="1" applyBorder="1"/>
    <xf numFmtId="10" fontId="1" fillId="0" borderId="0" xfId="2" applyNumberFormat="1"/>
    <xf numFmtId="10" fontId="37" fillId="0" borderId="5" xfId="5" applyNumberFormat="1" applyFont="1" applyBorder="1" applyAlignment="1" applyProtection="1">
      <alignment horizontal="center" vertical="center"/>
    </xf>
    <xf numFmtId="0" fontId="39" fillId="0" borderId="0" xfId="2" applyFont="1"/>
    <xf numFmtId="0" fontId="2" fillId="0" borderId="0" xfId="4"/>
    <xf numFmtId="0" fontId="6" fillId="0" borderId="0" xfId="4" applyFont="1"/>
    <xf numFmtId="10" fontId="6" fillId="0" borderId="0" xfId="4" applyNumberFormat="1" applyFont="1"/>
    <xf numFmtId="0" fontId="41" fillId="0" borderId="5" xfId="4" applyFont="1" applyBorder="1"/>
    <xf numFmtId="49" fontId="6" fillId="0" borderId="5" xfId="4" applyNumberFormat="1" applyFont="1" applyBorder="1" applyAlignment="1">
      <alignment horizontal="center"/>
    </xf>
    <xf numFmtId="4" fontId="42" fillId="0" borderId="5" xfId="4" applyNumberFormat="1" applyFont="1" applyBorder="1"/>
    <xf numFmtId="4" fontId="6" fillId="0" borderId="5" xfId="4" applyNumberFormat="1" applyFont="1" applyBorder="1"/>
    <xf numFmtId="0" fontId="14" fillId="0" borderId="0" xfId="4" applyFont="1"/>
    <xf numFmtId="0" fontId="41" fillId="0" borderId="11" xfId="4" applyFont="1" applyBorder="1"/>
    <xf numFmtId="4" fontId="42" fillId="0" borderId="2" xfId="4" applyNumberFormat="1" applyFont="1" applyBorder="1"/>
    <xf numFmtId="0" fontId="17" fillId="0" borderId="0" xfId="4" applyFont="1"/>
    <xf numFmtId="4" fontId="6" fillId="0" borderId="0" xfId="4" applyNumberFormat="1" applyFont="1"/>
    <xf numFmtId="0" fontId="7" fillId="0" borderId="0" xfId="4" applyFont="1"/>
    <xf numFmtId="0" fontId="4" fillId="0" borderId="0" xfId="4" applyFont="1"/>
    <xf numFmtId="4" fontId="7" fillId="0" borderId="0" xfId="4" applyNumberFormat="1" applyFont="1"/>
    <xf numFmtId="4" fontId="28" fillId="0" borderId="5" xfId="4" applyNumberFormat="1" applyFont="1" applyBorder="1"/>
    <xf numFmtId="4" fontId="8" fillId="2" borderId="1" xfId="4" applyNumberFormat="1" applyFont="1" applyFill="1" applyBorder="1"/>
    <xf numFmtId="4" fontId="5" fillId="0" borderId="0" xfId="4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/>
    </xf>
    <xf numFmtId="165" fontId="45" fillId="5" borderId="1" xfId="4" applyNumberFormat="1" applyFont="1" applyFill="1" applyBorder="1" applyAlignment="1">
      <alignment horizontal="right"/>
    </xf>
    <xf numFmtId="4" fontId="42" fillId="0" borderId="5" xfId="4" applyNumberFormat="1" applyFont="1" applyBorder="1" applyAlignment="1">
      <alignment horizontal="right"/>
    </xf>
    <xf numFmtId="4" fontId="5" fillId="0" borderId="0" xfId="4" applyNumberFormat="1" applyFont="1" applyAlignment="1">
      <alignment horizontal="center"/>
    </xf>
    <xf numFmtId="4" fontId="6" fillId="0" borderId="1" xfId="4" applyNumberFormat="1" applyFont="1" applyBorder="1"/>
    <xf numFmtId="4" fontId="46" fillId="0" borderId="5" xfId="4" applyNumberFormat="1" applyFont="1" applyBorder="1"/>
    <xf numFmtId="0" fontId="44" fillId="0" borderId="0" xfId="4" applyFont="1"/>
    <xf numFmtId="0" fontId="6" fillId="0" borderId="0" xfId="0" applyFont="1"/>
    <xf numFmtId="4" fontId="2" fillId="0" borderId="0" xfId="4" applyNumberFormat="1"/>
    <xf numFmtId="10" fontId="2" fillId="0" borderId="0" xfId="4" applyNumberFormat="1"/>
    <xf numFmtId="0" fontId="37" fillId="0" borderId="5" xfId="0" applyFont="1" applyBorder="1"/>
    <xf numFmtId="4" fontId="37" fillId="0" borderId="5" xfId="0" applyNumberFormat="1" applyFont="1" applyBorder="1"/>
    <xf numFmtId="167" fontId="0" fillId="0" borderId="0" xfId="0" applyNumberFormat="1"/>
    <xf numFmtId="0" fontId="39" fillId="0" borderId="0" xfId="0" applyFont="1"/>
    <xf numFmtId="0" fontId="0" fillId="0" borderId="0" xfId="0" applyAlignment="1">
      <alignment horizontal="center"/>
    </xf>
    <xf numFmtId="9" fontId="6" fillId="0" borderId="0" xfId="1" applyFont="1" applyBorder="1" applyAlignment="1" applyProtection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167" fontId="6" fillId="0" borderId="16" xfId="1" applyNumberFormat="1" applyFont="1" applyBorder="1" applyAlignment="1" applyProtection="1">
      <alignment horizontal="center"/>
    </xf>
    <xf numFmtId="168" fontId="0" fillId="0" borderId="0" xfId="0" applyNumberFormat="1"/>
    <xf numFmtId="169" fontId="0" fillId="0" borderId="0" xfId="0" applyNumberFormat="1"/>
    <xf numFmtId="4" fontId="28" fillId="0" borderId="0" xfId="0" applyNumberFormat="1" applyFont="1"/>
    <xf numFmtId="0" fontId="7" fillId="0" borderId="0" xfId="0" applyFont="1"/>
    <xf numFmtId="167" fontId="7" fillId="0" borderId="0" xfId="1" applyNumberFormat="1" applyFont="1" applyBorder="1" applyAlignment="1" applyProtection="1">
      <alignment horizontal="center"/>
    </xf>
    <xf numFmtId="167" fontId="6" fillId="0" borderId="0" xfId="1" applyNumberFormat="1" applyFont="1" applyBorder="1" applyAlignment="1" applyProtection="1">
      <alignment horizontal="center"/>
    </xf>
    <xf numFmtId="0" fontId="0" fillId="0" borderId="19" xfId="0" applyBorder="1"/>
    <xf numFmtId="0" fontId="41" fillId="0" borderId="0" xfId="0" applyFont="1"/>
    <xf numFmtId="9" fontId="41" fillId="0" borderId="0" xfId="1" applyFont="1" applyBorder="1" applyAlignment="1" applyProtection="1">
      <alignment horizontal="center"/>
    </xf>
    <xf numFmtId="43" fontId="2" fillId="0" borderId="0" xfId="3" applyNumberFormat="1"/>
    <xf numFmtId="4" fontId="49" fillId="0" borderId="5" xfId="3" applyNumberFormat="1" applyFont="1" applyBorder="1" applyAlignment="1">
      <alignment horizontal="right"/>
    </xf>
    <xf numFmtId="0" fontId="8" fillId="3" borderId="12" xfId="3" applyFont="1" applyFill="1" applyBorder="1" applyAlignment="1">
      <alignment horizontal="center" vertical="center"/>
    </xf>
    <xf numFmtId="4" fontId="15" fillId="0" borderId="13" xfId="3" applyNumberFormat="1" applyFont="1" applyBorder="1"/>
    <xf numFmtId="4" fontId="13" fillId="0" borderId="22" xfId="3" applyNumberFormat="1" applyFont="1" applyBorder="1"/>
    <xf numFmtId="4" fontId="49" fillId="0" borderId="22" xfId="3" applyNumberFormat="1" applyFont="1" applyBorder="1"/>
    <xf numFmtId="0" fontId="5" fillId="0" borderId="0" xfId="3" applyFont="1" applyAlignment="1">
      <alignment vertical="center" wrapText="1"/>
    </xf>
    <xf numFmtId="4" fontId="5" fillId="0" borderId="0" xfId="3" applyNumberFormat="1" applyFont="1" applyAlignment="1">
      <alignment vertical="center" wrapText="1"/>
    </xf>
    <xf numFmtId="49" fontId="15" fillId="0" borderId="2" xfId="3" applyNumberFormat="1" applyFont="1" applyBorder="1"/>
    <xf numFmtId="0" fontId="5" fillId="6" borderId="0" xfId="3" applyFont="1" applyFill="1" applyAlignment="1">
      <alignment horizontal="center"/>
    </xf>
    <xf numFmtId="0" fontId="5" fillId="7" borderId="0" xfId="3" applyFont="1" applyFill="1"/>
    <xf numFmtId="0" fontId="2" fillId="0" borderId="0" xfId="3" applyAlignment="1">
      <alignment horizontal="center" vertical="center"/>
    </xf>
    <xf numFmtId="4" fontId="49" fillId="0" borderId="3" xfId="3" applyNumberFormat="1" applyFont="1" applyBorder="1"/>
    <xf numFmtId="4" fontId="49" fillId="0" borderId="20" xfId="3" applyNumberFormat="1" applyFont="1" applyBorder="1" applyAlignment="1">
      <alignment horizontal="right"/>
    </xf>
    <xf numFmtId="4" fontId="49" fillId="0" borderId="25" xfId="3" applyNumberFormat="1" applyFont="1" applyBorder="1"/>
    <xf numFmtId="4" fontId="5" fillId="0" borderId="0" xfId="3" applyNumberFormat="1" applyFont="1" applyAlignment="1">
      <alignment horizontal="right"/>
    </xf>
    <xf numFmtId="49" fontId="22" fillId="0" borderId="0" xfId="3" applyNumberFormat="1" applyFont="1" applyAlignment="1">
      <alignment horizontal="right"/>
    </xf>
    <xf numFmtId="4" fontId="5" fillId="6" borderId="0" xfId="3" applyNumberFormat="1" applyFont="1" applyFill="1"/>
    <xf numFmtId="43" fontId="2" fillId="0" borderId="0" xfId="3" applyNumberFormat="1" applyAlignment="1">
      <alignment horizontal="center"/>
    </xf>
    <xf numFmtId="0" fontId="51" fillId="0" borderId="0" xfId="3" applyFont="1" applyAlignment="1">
      <alignment horizontal="left"/>
    </xf>
    <xf numFmtId="0" fontId="52" fillId="0" borderId="0" xfId="4" applyFont="1" applyAlignment="1">
      <alignment horizontal="left"/>
    </xf>
    <xf numFmtId="0" fontId="5" fillId="0" borderId="0" xfId="3" applyFont="1" applyAlignment="1">
      <alignment horizontal="left"/>
    </xf>
    <xf numFmtId="9" fontId="2" fillId="0" borderId="0" xfId="3" applyNumberFormat="1"/>
    <xf numFmtId="4" fontId="2" fillId="0" borderId="0" xfId="3" applyNumberFormat="1" applyAlignment="1">
      <alignment horizontal="left"/>
    </xf>
    <xf numFmtId="43" fontId="2" fillId="0" borderId="0" xfId="3" applyNumberFormat="1" applyAlignment="1">
      <alignment horizontal="right"/>
    </xf>
    <xf numFmtId="43" fontId="5" fillId="0" borderId="0" xfId="3" applyNumberFormat="1" applyFont="1"/>
    <xf numFmtId="4" fontId="15" fillId="0" borderId="22" xfId="3" applyNumberFormat="1" applyFont="1" applyBorder="1" applyAlignment="1">
      <alignment horizontal="right"/>
    </xf>
    <xf numFmtId="0" fontId="5" fillId="8" borderId="0" xfId="3" applyFont="1" applyFill="1"/>
    <xf numFmtId="4" fontId="2" fillId="8" borderId="0" xfId="3" applyNumberFormat="1" applyFill="1" applyAlignment="1">
      <alignment horizontal="right"/>
    </xf>
    <xf numFmtId="0" fontId="5" fillId="9" borderId="0" xfId="3" applyFont="1" applyFill="1"/>
    <xf numFmtId="4" fontId="2" fillId="9" borderId="0" xfId="3" applyNumberFormat="1" applyFill="1" applyAlignment="1">
      <alignment horizontal="right"/>
    </xf>
    <xf numFmtId="4" fontId="49" fillId="0" borderId="0" xfId="3" applyNumberFormat="1" applyFont="1"/>
    <xf numFmtId="4" fontId="43" fillId="0" borderId="0" xfId="3" applyNumberFormat="1" applyFont="1"/>
    <xf numFmtId="49" fontId="9" fillId="10" borderId="3" xfId="3" applyNumberFormat="1" applyFont="1" applyFill="1" applyBorder="1" applyAlignment="1">
      <alignment horizontal="right"/>
    </xf>
    <xf numFmtId="0" fontId="8" fillId="10" borderId="12" xfId="3" applyFont="1" applyFill="1" applyBorder="1" applyAlignment="1">
      <alignment horizontal="center" vertical="center"/>
    </xf>
    <xf numFmtId="4" fontId="5" fillId="10" borderId="2" xfId="3" applyNumberFormat="1" applyFont="1" applyFill="1" applyBorder="1" applyAlignment="1">
      <alignment horizontal="right"/>
    </xf>
    <xf numFmtId="0" fontId="5" fillId="10" borderId="1" xfId="3" applyFont="1" applyFill="1" applyBorder="1" applyAlignment="1">
      <alignment horizontal="center"/>
    </xf>
    <xf numFmtId="0" fontId="5" fillId="10" borderId="2" xfId="3" applyFont="1" applyFill="1" applyBorder="1" applyAlignment="1">
      <alignment horizontal="center"/>
    </xf>
    <xf numFmtId="4" fontId="2" fillId="7" borderId="0" xfId="3" applyNumberFormat="1" applyFill="1" applyAlignment="1">
      <alignment horizontal="right"/>
    </xf>
    <xf numFmtId="4" fontId="23" fillId="10" borderId="5" xfId="3" applyNumberFormat="1" applyFont="1" applyFill="1" applyBorder="1" applyAlignment="1">
      <alignment horizontal="right"/>
    </xf>
    <xf numFmtId="4" fontId="24" fillId="10" borderId="5" xfId="3" applyNumberFormat="1" applyFont="1" applyFill="1" applyBorder="1" applyAlignment="1">
      <alignment horizontal="right"/>
    </xf>
    <xf numFmtId="4" fontId="23" fillId="10" borderId="21" xfId="3" applyNumberFormat="1" applyFont="1" applyFill="1" applyBorder="1" applyAlignment="1">
      <alignment horizontal="right"/>
    </xf>
    <xf numFmtId="4" fontId="24" fillId="10" borderId="21" xfId="3" applyNumberFormat="1" applyFont="1" applyFill="1" applyBorder="1" applyAlignment="1">
      <alignment horizontal="right"/>
    </xf>
    <xf numFmtId="0" fontId="25" fillId="0" borderId="26" xfId="4" applyFont="1" applyBorder="1"/>
    <xf numFmtId="4" fontId="8" fillId="0" borderId="26" xfId="3" applyNumberFormat="1" applyFont="1" applyBorder="1"/>
    <xf numFmtId="49" fontId="13" fillId="0" borderId="12" xfId="3" applyNumberFormat="1" applyFont="1" applyBorder="1"/>
    <xf numFmtId="49" fontId="15" fillId="0" borderId="13" xfId="3" applyNumberFormat="1" applyFont="1" applyBorder="1"/>
    <xf numFmtId="0" fontId="5" fillId="10" borderId="0" xfId="3" applyFont="1" applyFill="1" applyAlignment="1">
      <alignment horizontal="center"/>
    </xf>
    <xf numFmtId="0" fontId="2" fillId="0" borderId="0" xfId="3" applyAlignment="1">
      <alignment wrapText="1"/>
    </xf>
    <xf numFmtId="0" fontId="2" fillId="0" borderId="0" xfId="3" applyAlignment="1">
      <alignment vertical="center" wrapText="1"/>
    </xf>
    <xf numFmtId="4" fontId="24" fillId="10" borderId="3" xfId="3" applyNumberFormat="1" applyFont="1" applyFill="1" applyBorder="1" applyAlignment="1">
      <alignment horizontal="right"/>
    </xf>
    <xf numFmtId="0" fontId="11" fillId="8" borderId="1" xfId="3" applyFont="1" applyFill="1" applyBorder="1" applyAlignment="1">
      <alignment vertical="center"/>
    </xf>
    <xf numFmtId="0" fontId="11" fillId="9" borderId="1" xfId="3" applyFont="1" applyFill="1" applyBorder="1" applyAlignment="1">
      <alignment vertical="center"/>
    </xf>
    <xf numFmtId="43" fontId="5" fillId="10" borderId="1" xfId="3" applyNumberFormat="1" applyFont="1" applyFill="1" applyBorder="1" applyAlignment="1">
      <alignment horizontal="right"/>
    </xf>
    <xf numFmtId="0" fontId="11" fillId="7" borderId="1" xfId="3" applyFont="1" applyFill="1" applyBorder="1" applyAlignment="1">
      <alignment vertical="center"/>
    </xf>
    <xf numFmtId="43" fontId="2" fillId="0" borderId="0" xfId="3" applyNumberFormat="1" applyAlignment="1">
      <alignment horizontal="left"/>
    </xf>
    <xf numFmtId="4" fontId="23" fillId="10" borderId="3" xfId="3" applyNumberFormat="1" applyFont="1" applyFill="1" applyBorder="1" applyAlignment="1">
      <alignment horizontal="right"/>
    </xf>
    <xf numFmtId="4" fontId="20" fillId="10" borderId="5" xfId="3" applyNumberFormat="1" applyFont="1" applyFill="1" applyBorder="1" applyAlignment="1">
      <alignment horizontal="right"/>
    </xf>
    <xf numFmtId="4" fontId="20" fillId="10" borderId="3" xfId="3" applyNumberFormat="1" applyFont="1" applyFill="1" applyBorder="1" applyAlignment="1">
      <alignment horizontal="right"/>
    </xf>
    <xf numFmtId="4" fontId="43" fillId="0" borderId="0" xfId="3" applyNumberFormat="1" applyFont="1" applyAlignment="1">
      <alignment horizontal="right"/>
    </xf>
    <xf numFmtId="4" fontId="17" fillId="0" borderId="0" xfId="4" applyNumberFormat="1" applyFont="1" applyAlignment="1">
      <alignment horizontal="center" vertical="center"/>
    </xf>
    <xf numFmtId="49" fontId="2" fillId="0" borderId="0" xfId="3" applyNumberFormat="1" applyAlignment="1">
      <alignment horizontal="center"/>
    </xf>
    <xf numFmtId="4" fontId="1" fillId="0" borderId="21" xfId="2" applyNumberFormat="1" applyBorder="1"/>
    <xf numFmtId="10" fontId="38" fillId="10" borderId="5" xfId="5" applyNumberFormat="1" applyFont="1" applyFill="1" applyBorder="1" applyAlignment="1" applyProtection="1">
      <alignment horizontal="center" vertical="center"/>
    </xf>
    <xf numFmtId="0" fontId="36" fillId="10" borderId="5" xfId="2" applyFont="1" applyFill="1" applyBorder="1" applyAlignment="1">
      <alignment horizontal="center"/>
    </xf>
    <xf numFmtId="0" fontId="36" fillId="10" borderId="1" xfId="2" applyFont="1" applyFill="1" applyBorder="1" applyAlignment="1">
      <alignment horizontal="center"/>
    </xf>
    <xf numFmtId="4" fontId="36" fillId="10" borderId="2" xfId="2" applyNumberFormat="1" applyFont="1" applyFill="1" applyBorder="1"/>
    <xf numFmtId="0" fontId="36" fillId="10" borderId="5" xfId="2" applyFont="1" applyFill="1" applyBorder="1" applyAlignment="1">
      <alignment horizontal="center" vertical="center"/>
    </xf>
    <xf numFmtId="0" fontId="38" fillId="10" borderId="5" xfId="0" applyFont="1" applyFill="1" applyBorder="1" applyAlignment="1">
      <alignment horizontal="center"/>
    </xf>
    <xf numFmtId="4" fontId="38" fillId="10" borderId="5" xfId="0" applyNumberFormat="1" applyFont="1" applyFill="1" applyBorder="1"/>
    <xf numFmtId="9" fontId="38" fillId="10" borderId="5" xfId="1" applyFont="1" applyFill="1" applyBorder="1" applyAlignment="1" applyProtection="1">
      <alignment horizontal="center"/>
    </xf>
    <xf numFmtId="0" fontId="44" fillId="0" borderId="7" xfId="3" applyFont="1" applyBorder="1" applyAlignment="1">
      <alignment horizontal="left"/>
    </xf>
    <xf numFmtId="0" fontId="17" fillId="0" borderId="0" xfId="3" applyFont="1" applyAlignment="1">
      <alignment horizontal="left"/>
    </xf>
    <xf numFmtId="0" fontId="44" fillId="0" borderId="0" xfId="3" applyFont="1" applyAlignment="1">
      <alignment horizontal="left"/>
    </xf>
    <xf numFmtId="4" fontId="15" fillId="0" borderId="11" xfId="3" applyNumberFormat="1" applyFont="1" applyBorder="1" applyAlignment="1">
      <alignment vertical="center"/>
    </xf>
    <xf numFmtId="0" fontId="11" fillId="0" borderId="21" xfId="3" applyFont="1" applyBorder="1" applyAlignment="1">
      <alignment horizontal="left" vertical="center"/>
    </xf>
    <xf numFmtId="0" fontId="1" fillId="0" borderId="0" xfId="2" applyAlignment="1">
      <alignment horizontal="center"/>
    </xf>
    <xf numFmtId="0" fontId="55" fillId="0" borderId="0" xfId="0" applyFont="1"/>
    <xf numFmtId="0" fontId="55" fillId="12" borderId="0" xfId="0" applyFont="1" applyFill="1"/>
    <xf numFmtId="0" fontId="58" fillId="0" borderId="21" xfId="0" applyFont="1" applyBorder="1"/>
    <xf numFmtId="4" fontId="58" fillId="0" borderId="21" xfId="0" applyNumberFormat="1" applyFont="1" applyBorder="1"/>
    <xf numFmtId="0" fontId="55" fillId="0" borderId="21" xfId="0" applyFont="1" applyBorder="1"/>
    <xf numFmtId="0" fontId="1" fillId="0" borderId="0" xfId="0" applyFont="1" applyAlignment="1">
      <alignment horizontal="center"/>
    </xf>
    <xf numFmtId="0" fontId="59" fillId="0" borderId="0" xfId="0" applyFont="1"/>
    <xf numFmtId="0" fontId="53" fillId="0" borderId="0" xfId="0" applyFont="1" applyAlignment="1">
      <alignment horizontal="center"/>
    </xf>
    <xf numFmtId="4" fontId="60" fillId="0" borderId="21" xfId="0" applyNumberFormat="1" applyFont="1" applyBorder="1"/>
    <xf numFmtId="4" fontId="53" fillId="13" borderId="21" xfId="0" applyNumberFormat="1" applyFont="1" applyFill="1" applyBorder="1"/>
    <xf numFmtId="0" fontId="53" fillId="13" borderId="21" xfId="0" applyFont="1" applyFill="1" applyBorder="1" applyAlignment="1">
      <alignment horizontal="center" vertical="center"/>
    </xf>
    <xf numFmtId="0" fontId="60" fillId="0" borderId="21" xfId="0" applyFont="1" applyBorder="1" applyAlignment="1">
      <alignment horizontal="center"/>
    </xf>
    <xf numFmtId="0" fontId="53" fillId="13" borderId="21" xfId="0" applyFont="1" applyFill="1" applyBorder="1" applyAlignment="1">
      <alignment horizontal="center" vertical="center" wrapText="1"/>
    </xf>
    <xf numFmtId="49" fontId="60" fillId="0" borderId="21" xfId="0" applyNumberFormat="1" applyFont="1" applyBorder="1" applyAlignment="1">
      <alignment horizontal="center" vertical="center"/>
    </xf>
    <xf numFmtId="49" fontId="60" fillId="0" borderId="24" xfId="0" applyNumberFormat="1" applyFont="1" applyBorder="1" applyAlignment="1">
      <alignment horizontal="center" vertical="center"/>
    </xf>
    <xf numFmtId="0" fontId="60" fillId="0" borderId="21" xfId="0" applyFont="1" applyBorder="1" applyAlignment="1">
      <alignment horizontal="center" vertical="center"/>
    </xf>
    <xf numFmtId="49" fontId="60" fillId="13" borderId="21" xfId="0" applyNumberFormat="1" applyFont="1" applyFill="1" applyBorder="1" applyAlignment="1">
      <alignment horizontal="center" vertical="center"/>
    </xf>
    <xf numFmtId="2" fontId="60" fillId="0" borderId="21" xfId="0" applyNumberFormat="1" applyFont="1" applyBorder="1"/>
    <xf numFmtId="4" fontId="5" fillId="0" borderId="26" xfId="3" applyNumberFormat="1" applyFont="1" applyBorder="1" applyAlignment="1">
      <alignment horizontal="right"/>
    </xf>
    <xf numFmtId="49" fontId="13" fillId="0" borderId="11" xfId="3" applyNumberFormat="1" applyFont="1" applyBorder="1" applyAlignment="1">
      <alignment horizontal="center"/>
    </xf>
    <xf numFmtId="49" fontId="13" fillId="0" borderId="12" xfId="3" applyNumberFormat="1" applyFont="1" applyBorder="1" applyAlignment="1">
      <alignment horizontal="center"/>
    </xf>
    <xf numFmtId="4" fontId="16" fillId="0" borderId="22" xfId="3" applyNumberFormat="1" applyFont="1" applyBorder="1"/>
    <xf numFmtId="4" fontId="13" fillId="0" borderId="23" xfId="3" applyNumberFormat="1" applyFont="1" applyBorder="1"/>
    <xf numFmtId="4" fontId="22" fillId="0" borderId="5" xfId="3" applyNumberFormat="1" applyFont="1" applyBorder="1" applyAlignment="1">
      <alignment horizontal="right"/>
    </xf>
    <xf numFmtId="4" fontId="18" fillId="0" borderId="1" xfId="3" applyNumberFormat="1" applyFont="1" applyBorder="1" applyAlignment="1">
      <alignment horizontal="right"/>
    </xf>
    <xf numFmtId="4" fontId="16" fillId="0" borderId="1" xfId="3" applyNumberFormat="1" applyFont="1" applyBorder="1"/>
    <xf numFmtId="4" fontId="13" fillId="0" borderId="3" xfId="3" applyNumberFormat="1" applyFont="1" applyBorder="1" applyAlignment="1">
      <alignment horizontal="right"/>
    </xf>
    <xf numFmtId="4" fontId="15" fillId="0" borderId="3" xfId="3" applyNumberFormat="1" applyFont="1" applyBorder="1" applyAlignment="1">
      <alignment horizontal="right"/>
    </xf>
    <xf numFmtId="4" fontId="13" fillId="0" borderId="10" xfId="3" applyNumberFormat="1" applyFont="1" applyBorder="1" applyAlignment="1">
      <alignment horizontal="right"/>
    </xf>
    <xf numFmtId="4" fontId="29" fillId="0" borderId="10" xfId="3" applyNumberFormat="1" applyFont="1" applyBorder="1" applyAlignment="1">
      <alignment horizontal="right"/>
    </xf>
    <xf numFmtId="49" fontId="9" fillId="10" borderId="25" xfId="3" applyNumberFormat="1" applyFont="1" applyFill="1" applyBorder="1" applyAlignment="1">
      <alignment horizontal="right"/>
    </xf>
    <xf numFmtId="0" fontId="11" fillId="0" borderId="39" xfId="3" applyFont="1" applyBorder="1"/>
    <xf numFmtId="0" fontId="50" fillId="0" borderId="28" xfId="3" applyFont="1" applyBorder="1" applyAlignment="1">
      <alignment vertical="center"/>
    </xf>
    <xf numFmtId="0" fontId="15" fillId="0" borderId="0" xfId="3" applyFont="1" applyAlignment="1">
      <alignment vertical="center"/>
    </xf>
    <xf numFmtId="0" fontId="50" fillId="0" borderId="35" xfId="3" applyFont="1" applyBorder="1" applyAlignment="1">
      <alignment horizontal="left" vertical="center"/>
    </xf>
    <xf numFmtId="0" fontId="50" fillId="8" borderId="35" xfId="3" applyFont="1" applyFill="1" applyBorder="1" applyAlignment="1">
      <alignment horizontal="left" vertical="center"/>
    </xf>
    <xf numFmtId="0" fontId="50" fillId="9" borderId="27" xfId="3" applyFont="1" applyFill="1" applyBorder="1" applyAlignment="1">
      <alignment horizontal="left" vertical="center"/>
    </xf>
    <xf numFmtId="0" fontId="50" fillId="0" borderId="34" xfId="3" applyFont="1" applyBorder="1" applyAlignment="1">
      <alignment horizontal="left" vertical="center"/>
    </xf>
    <xf numFmtId="0" fontId="50" fillId="0" borderId="27" xfId="3" applyFont="1" applyBorder="1" applyAlignment="1">
      <alignment horizontal="left" vertical="center"/>
    </xf>
    <xf numFmtId="0" fontId="50" fillId="8" borderId="34" xfId="3" applyFont="1" applyFill="1" applyBorder="1" applyAlignment="1">
      <alignment horizontal="left" vertical="center"/>
    </xf>
    <xf numFmtId="0" fontId="50" fillId="7" borderId="27" xfId="3" applyFont="1" applyFill="1" applyBorder="1" applyAlignment="1">
      <alignment horizontal="left" vertical="center"/>
    </xf>
    <xf numFmtId="0" fontId="50" fillId="11" borderId="35" xfId="3" applyFont="1" applyFill="1" applyBorder="1" applyAlignment="1">
      <alignment horizontal="left" vertical="center"/>
    </xf>
    <xf numFmtId="0" fontId="50" fillId="8" borderId="27" xfId="3" applyFont="1" applyFill="1" applyBorder="1" applyAlignment="1">
      <alignment horizontal="left" vertical="center"/>
    </xf>
    <xf numFmtId="0" fontId="2" fillId="0" borderId="21" xfId="3" applyBorder="1"/>
    <xf numFmtId="4" fontId="23" fillId="0" borderId="21" xfId="3" applyNumberFormat="1" applyFont="1" applyBorder="1" applyAlignment="1">
      <alignment horizontal="right"/>
    </xf>
    <xf numFmtId="4" fontId="24" fillId="0" borderId="21" xfId="3" applyNumberFormat="1" applyFont="1" applyBorder="1" applyAlignment="1">
      <alignment horizontal="right"/>
    </xf>
    <xf numFmtId="4" fontId="5" fillId="0" borderId="21" xfId="3" applyNumberFormat="1" applyFont="1" applyBorder="1" applyAlignment="1">
      <alignment horizontal="right"/>
    </xf>
    <xf numFmtId="0" fontId="5" fillId="14" borderId="21" xfId="3" applyFont="1" applyFill="1" applyBorder="1"/>
    <xf numFmtId="4" fontId="5" fillId="14" borderId="21" xfId="3" applyNumberFormat="1" applyFont="1" applyFill="1" applyBorder="1" applyAlignment="1">
      <alignment horizontal="right"/>
    </xf>
    <xf numFmtId="0" fontId="2" fillId="8" borderId="21" xfId="3" applyFill="1" applyBorder="1"/>
    <xf numFmtId="4" fontId="5" fillId="8" borderId="21" xfId="3" applyNumberFormat="1" applyFont="1" applyFill="1" applyBorder="1" applyAlignment="1">
      <alignment horizontal="right"/>
    </xf>
    <xf numFmtId="0" fontId="25" fillId="0" borderId="21" xfId="4" applyFont="1" applyBorder="1"/>
    <xf numFmtId="0" fontId="26" fillId="0" borderId="21" xfId="4" applyFont="1" applyBorder="1"/>
    <xf numFmtId="0" fontId="25" fillId="0" borderId="27" xfId="4" applyFont="1" applyBorder="1"/>
    <xf numFmtId="0" fontId="25" fillId="8" borderId="21" xfId="4" applyFont="1" applyFill="1" applyBorder="1"/>
    <xf numFmtId="0" fontId="26" fillId="8" borderId="21" xfId="4" applyFont="1" applyFill="1" applyBorder="1"/>
    <xf numFmtId="0" fontId="5" fillId="14" borderId="21" xfId="3" applyFont="1" applyFill="1" applyBorder="1" applyAlignment="1">
      <alignment horizontal="center"/>
    </xf>
    <xf numFmtId="0" fontId="53" fillId="17" borderId="0" xfId="0" applyFont="1" applyFill="1" applyAlignment="1">
      <alignment horizontal="center" vertical="center" wrapText="1"/>
    </xf>
    <xf numFmtId="0" fontId="60" fillId="0" borderId="0" xfId="0" applyFont="1"/>
    <xf numFmtId="4" fontId="60" fillId="0" borderId="0" xfId="0" applyNumberFormat="1" applyFont="1"/>
    <xf numFmtId="10" fontId="60" fillId="0" borderId="0" xfId="0" applyNumberFormat="1" applyFont="1"/>
    <xf numFmtId="0" fontId="53" fillId="17" borderId="0" xfId="0" applyFont="1" applyFill="1"/>
    <xf numFmtId="4" fontId="53" fillId="17" borderId="0" xfId="0" applyNumberFormat="1" applyFont="1" applyFill="1"/>
    <xf numFmtId="0" fontId="53" fillId="15" borderId="0" xfId="0" applyFont="1" applyFill="1"/>
    <xf numFmtId="4" fontId="53" fillId="15" borderId="0" xfId="0" applyNumberFormat="1" applyFont="1" applyFill="1"/>
    <xf numFmtId="0" fontId="53" fillId="17" borderId="0" xfId="0" applyFont="1" applyFill="1" applyAlignment="1">
      <alignment horizontal="left" vertical="center"/>
    </xf>
    <xf numFmtId="4" fontId="53" fillId="13" borderId="31" xfId="0" applyNumberFormat="1" applyFont="1" applyFill="1" applyBorder="1"/>
    <xf numFmtId="2" fontId="59" fillId="0" borderId="21" xfId="0" applyNumberFormat="1" applyFont="1" applyBorder="1"/>
    <xf numFmtId="2" fontId="59" fillId="0" borderId="34" xfId="0" applyNumberFormat="1" applyFont="1" applyBorder="1"/>
    <xf numFmtId="4" fontId="60" fillId="0" borderId="31" xfId="0" applyNumberFormat="1" applyFont="1" applyBorder="1"/>
    <xf numFmtId="0" fontId="62" fillId="0" borderId="0" xfId="0" applyFont="1"/>
    <xf numFmtId="0" fontId="63" fillId="0" borderId="0" xfId="0" applyFont="1" applyAlignment="1">
      <alignment horizontal="center"/>
    </xf>
    <xf numFmtId="43" fontId="62" fillId="0" borderId="0" xfId="0" applyNumberFormat="1" applyFont="1"/>
    <xf numFmtId="9" fontId="5" fillId="0" borderId="0" xfId="3" applyNumberFormat="1" applyFont="1" applyAlignment="1">
      <alignment horizontal="center" vertical="center"/>
    </xf>
    <xf numFmtId="9" fontId="5" fillId="0" borderId="0" xfId="3" applyNumberFormat="1" applyFont="1" applyAlignment="1">
      <alignment horizontal="center"/>
    </xf>
    <xf numFmtId="43" fontId="6" fillId="0" borderId="0" xfId="4" applyNumberFormat="1" applyFont="1"/>
    <xf numFmtId="0" fontId="5" fillId="18" borderId="2" xfId="4" applyFont="1" applyFill="1" applyBorder="1" applyAlignment="1">
      <alignment horizontal="center"/>
    </xf>
    <xf numFmtId="4" fontId="8" fillId="18" borderId="1" xfId="4" applyNumberFormat="1" applyFont="1" applyFill="1" applyBorder="1"/>
    <xf numFmtId="4" fontId="8" fillId="0" borderId="0" xfId="4" applyNumberFormat="1" applyFont="1"/>
    <xf numFmtId="0" fontId="5" fillId="18" borderId="5" xfId="4" applyFont="1" applyFill="1" applyBorder="1" applyAlignment="1">
      <alignment horizontal="center" vertical="center"/>
    </xf>
    <xf numFmtId="0" fontId="5" fillId="18" borderId="1" xfId="4" applyFont="1" applyFill="1" applyBorder="1" applyAlignment="1">
      <alignment horizontal="center" vertical="center"/>
    </xf>
    <xf numFmtId="0" fontId="5" fillId="18" borderId="1" xfId="4" applyFont="1" applyFill="1" applyBorder="1" applyAlignment="1">
      <alignment horizontal="center" vertical="center" wrapText="1"/>
    </xf>
    <xf numFmtId="0" fontId="5" fillId="9" borderId="3" xfId="4" applyFont="1" applyFill="1" applyBorder="1" applyAlignment="1">
      <alignment horizontal="center" vertical="center"/>
    </xf>
    <xf numFmtId="0" fontId="5" fillId="9" borderId="3" xfId="4" applyFont="1" applyFill="1" applyBorder="1" applyAlignment="1">
      <alignment horizontal="right" vertical="center"/>
    </xf>
    <xf numFmtId="0" fontId="5" fillId="9" borderId="2" xfId="4" applyFont="1" applyFill="1" applyBorder="1" applyAlignment="1">
      <alignment horizontal="right" vertical="center"/>
    </xf>
    <xf numFmtId="0" fontId="5" fillId="9" borderId="2" xfId="4" applyFont="1" applyFill="1" applyBorder="1" applyAlignment="1">
      <alignment horizontal="center" vertical="center"/>
    </xf>
    <xf numFmtId="0" fontId="5" fillId="9" borderId="21" xfId="4" applyFont="1" applyFill="1" applyBorder="1" applyAlignment="1">
      <alignment horizontal="right" vertical="center"/>
    </xf>
    <xf numFmtId="0" fontId="5" fillId="9" borderId="12" xfId="4" applyFont="1" applyFill="1" applyBorder="1" applyAlignment="1">
      <alignment horizontal="right" vertical="center"/>
    </xf>
    <xf numFmtId="4" fontId="5" fillId="18" borderId="5" xfId="4" applyNumberFormat="1" applyFont="1" applyFill="1" applyBorder="1"/>
    <xf numFmtId="4" fontId="7" fillId="18" borderId="5" xfId="4" applyNumberFormat="1" applyFont="1" applyFill="1" applyBorder="1"/>
    <xf numFmtId="4" fontId="5" fillId="18" borderId="1" xfId="4" applyNumberFormat="1" applyFont="1" applyFill="1" applyBorder="1"/>
    <xf numFmtId="4" fontId="7" fillId="18" borderId="1" xfId="4" applyNumberFormat="1" applyFont="1" applyFill="1" applyBorder="1"/>
    <xf numFmtId="4" fontId="8" fillId="18" borderId="5" xfId="4" applyNumberFormat="1" applyFont="1" applyFill="1" applyBorder="1"/>
    <xf numFmtId="4" fontId="5" fillId="18" borderId="2" xfId="4" applyNumberFormat="1" applyFont="1" applyFill="1" applyBorder="1" applyAlignment="1">
      <alignment horizontal="right"/>
    </xf>
    <xf numFmtId="4" fontId="7" fillId="18" borderId="2" xfId="4" applyNumberFormat="1" applyFont="1" applyFill="1" applyBorder="1"/>
    <xf numFmtId="0" fontId="6" fillId="18" borderId="5" xfId="4" applyFont="1" applyFill="1" applyBorder="1"/>
    <xf numFmtId="4" fontId="42" fillId="18" borderId="5" xfId="4" applyNumberFormat="1" applyFont="1" applyFill="1" applyBorder="1"/>
    <xf numFmtId="4" fontId="7" fillId="18" borderId="5" xfId="4" applyNumberFormat="1" applyFont="1" applyFill="1" applyBorder="1" applyAlignment="1">
      <alignment horizontal="right"/>
    </xf>
    <xf numFmtId="4" fontId="8" fillId="0" borderId="21" xfId="4" applyNumberFormat="1" applyFont="1" applyBorder="1"/>
    <xf numFmtId="165" fontId="45" fillId="0" borderId="21" xfId="4" applyNumberFormat="1" applyFont="1" applyBorder="1" applyAlignment="1">
      <alignment horizontal="right"/>
    </xf>
    <xf numFmtId="165" fontId="45" fillId="18" borderId="21" xfId="4" applyNumberFormat="1" applyFont="1" applyFill="1" applyBorder="1" applyAlignment="1">
      <alignment horizontal="right"/>
    </xf>
    <xf numFmtId="4" fontId="8" fillId="18" borderId="21" xfId="4" applyNumberFormat="1" applyFont="1" applyFill="1" applyBorder="1"/>
    <xf numFmtId="4" fontId="7" fillId="18" borderId="21" xfId="4" applyNumberFormat="1" applyFont="1" applyFill="1" applyBorder="1"/>
    <xf numFmtId="4" fontId="42" fillId="0" borderId="21" xfId="4" applyNumberFormat="1" applyFont="1" applyBorder="1" applyAlignment="1">
      <alignment horizontal="right"/>
    </xf>
    <xf numFmtId="4" fontId="42" fillId="0" borderId="21" xfId="4" applyNumberFormat="1" applyFont="1" applyBorder="1"/>
    <xf numFmtId="4" fontId="7" fillId="18" borderId="21" xfId="4" applyNumberFormat="1" applyFont="1" applyFill="1" applyBorder="1" applyAlignment="1">
      <alignment horizontal="right"/>
    </xf>
    <xf numFmtId="0" fontId="5" fillId="9" borderId="6" xfId="4" applyFont="1" applyFill="1" applyBorder="1" applyAlignment="1">
      <alignment horizontal="right" vertical="center"/>
    </xf>
    <xf numFmtId="0" fontId="64" fillId="0" borderId="0" xfId="3" applyFont="1" applyAlignment="1">
      <alignment horizontal="left"/>
    </xf>
    <xf numFmtId="0" fontId="65" fillId="0" borderId="0" xfId="4" applyFont="1"/>
    <xf numFmtId="0" fontId="64" fillId="0" borderId="0" xfId="3" applyFont="1" applyAlignment="1">
      <alignment horizontal="right"/>
    </xf>
    <xf numFmtId="164" fontId="64" fillId="0" borderId="0" xfId="3" applyNumberFormat="1" applyFont="1"/>
    <xf numFmtId="0" fontId="64" fillId="0" borderId="0" xfId="4" applyFont="1" applyAlignment="1">
      <alignment horizontal="center"/>
    </xf>
    <xf numFmtId="0" fontId="64" fillId="0" borderId="0" xfId="4" applyFont="1" applyAlignment="1">
      <alignment horizontal="right"/>
    </xf>
    <xf numFmtId="0" fontId="64" fillId="0" borderId="0" xfId="4" applyFont="1"/>
    <xf numFmtId="0" fontId="64" fillId="0" borderId="0" xfId="4" applyFont="1" applyAlignment="1">
      <alignment horizontal="left"/>
    </xf>
    <xf numFmtId="0" fontId="66" fillId="0" borderId="0" xfId="4" applyFont="1" applyAlignment="1">
      <alignment horizontal="center"/>
    </xf>
    <xf numFmtId="49" fontId="62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0" fontId="63" fillId="0" borderId="21" xfId="0" applyFont="1" applyBorder="1" applyAlignment="1">
      <alignment horizontal="center"/>
    </xf>
    <xf numFmtId="49" fontId="60" fillId="0" borderId="21" xfId="3" applyNumberFormat="1" applyFont="1" applyBorder="1" applyAlignment="1">
      <alignment horizontal="center" vertical="center"/>
    </xf>
    <xf numFmtId="43" fontId="62" fillId="0" borderId="21" xfId="0" applyNumberFormat="1" applyFont="1" applyBorder="1" applyAlignment="1">
      <alignment horizontal="right"/>
    </xf>
    <xf numFmtId="49" fontId="67" fillId="0" borderId="21" xfId="3" applyNumberFormat="1" applyFont="1" applyBorder="1" applyAlignment="1">
      <alignment horizontal="center" vertical="center"/>
    </xf>
    <xf numFmtId="49" fontId="61" fillId="0" borderId="21" xfId="0" applyNumberFormat="1" applyFont="1" applyBorder="1" applyAlignment="1">
      <alignment horizontal="center"/>
    </xf>
    <xf numFmtId="0" fontId="62" fillId="0" borderId="21" xfId="0" applyFont="1" applyBorder="1" applyAlignment="1">
      <alignment horizontal="center"/>
    </xf>
    <xf numFmtId="0" fontId="61" fillId="0" borderId="21" xfId="0" applyFont="1" applyBorder="1"/>
    <xf numFmtId="43" fontId="62" fillId="0" borderId="21" xfId="0" applyNumberFormat="1" applyFont="1" applyBorder="1"/>
    <xf numFmtId="0" fontId="62" fillId="0" borderId="21" xfId="0" applyFont="1" applyBorder="1" applyAlignment="1">
      <alignment horizontal="center" vertical="center"/>
    </xf>
    <xf numFmtId="0" fontId="67" fillId="0" borderId="21" xfId="3" applyFont="1" applyBorder="1" applyAlignment="1">
      <alignment horizontal="left" vertical="center"/>
    </xf>
    <xf numFmtId="49" fontId="62" fillId="0" borderId="21" xfId="0" applyNumberFormat="1" applyFont="1" applyBorder="1" applyAlignment="1">
      <alignment horizontal="center"/>
    </xf>
    <xf numFmtId="0" fontId="5" fillId="18" borderId="6" xfId="4" applyFont="1" applyFill="1" applyBorder="1" applyAlignment="1">
      <alignment horizontal="center"/>
    </xf>
    <xf numFmtId="49" fontId="60" fillId="13" borderId="32" xfId="0" applyNumberFormat="1" applyFont="1" applyFill="1" applyBorder="1" applyAlignment="1">
      <alignment horizontal="center" vertical="center"/>
    </xf>
    <xf numFmtId="0" fontId="2" fillId="19" borderId="0" xfId="3" applyFill="1"/>
    <xf numFmtId="4" fontId="5" fillId="19" borderId="0" xfId="3" applyNumberFormat="1" applyFont="1" applyFill="1"/>
    <xf numFmtId="0" fontId="20" fillId="19" borderId="7" xfId="3" applyFont="1" applyFill="1" applyBorder="1"/>
    <xf numFmtId="0" fontId="5" fillId="19" borderId="7" xfId="3" applyFont="1" applyFill="1" applyBorder="1"/>
    <xf numFmtId="0" fontId="20" fillId="19" borderId="0" xfId="3" applyFont="1" applyFill="1"/>
    <xf numFmtId="0" fontId="23" fillId="19" borderId="7" xfId="3" applyFont="1" applyFill="1" applyBorder="1"/>
    <xf numFmtId="0" fontId="5" fillId="19" borderId="0" xfId="3" applyFont="1" applyFill="1"/>
    <xf numFmtId="4" fontId="2" fillId="19" borderId="0" xfId="3" applyNumberFormat="1" applyFill="1"/>
    <xf numFmtId="0" fontId="2" fillId="19" borderId="7" xfId="3" applyFill="1" applyBorder="1"/>
    <xf numFmtId="4" fontId="19" fillId="19" borderId="0" xfId="3" applyNumberFormat="1" applyFont="1" applyFill="1"/>
    <xf numFmtId="0" fontId="5" fillId="19" borderId="0" xfId="3" applyFont="1" applyFill="1" applyAlignment="1">
      <alignment horizontal="center"/>
    </xf>
    <xf numFmtId="43" fontId="63" fillId="0" borderId="24" xfId="0" applyNumberFormat="1" applyFont="1" applyBorder="1" applyAlignment="1">
      <alignment horizontal="right"/>
    </xf>
    <xf numFmtId="43" fontId="63" fillId="0" borderId="24" xfId="0" applyNumberFormat="1" applyFont="1" applyBorder="1"/>
    <xf numFmtId="43" fontId="63" fillId="0" borderId="21" xfId="0" applyNumberFormat="1" applyFont="1" applyBorder="1"/>
    <xf numFmtId="49" fontId="15" fillId="0" borderId="12" xfId="3" applyNumberFormat="1" applyFont="1" applyBorder="1"/>
    <xf numFmtId="49" fontId="15" fillId="0" borderId="45" xfId="3" applyNumberFormat="1" applyFont="1" applyBorder="1"/>
    <xf numFmtId="49" fontId="13" fillId="0" borderId="45" xfId="3" applyNumberFormat="1" applyFont="1" applyBorder="1"/>
    <xf numFmtId="0" fontId="24" fillId="10" borderId="21" xfId="3" applyFont="1" applyFill="1" applyBorder="1" applyAlignment="1">
      <alignment horizontal="left"/>
    </xf>
    <xf numFmtId="0" fontId="24" fillId="10" borderId="5" xfId="3" applyFont="1" applyFill="1" applyBorder="1" applyAlignment="1">
      <alignment horizontal="left"/>
    </xf>
    <xf numFmtId="0" fontId="50" fillId="0" borderId="21" xfId="3" applyFont="1" applyBorder="1" applyAlignment="1">
      <alignment horizontal="left" vertical="center"/>
    </xf>
    <xf numFmtId="4" fontId="24" fillId="10" borderId="11" xfId="3" applyNumberFormat="1" applyFont="1" applyFill="1" applyBorder="1" applyAlignment="1">
      <alignment horizontal="right"/>
    </xf>
    <xf numFmtId="0" fontId="24" fillId="10" borderId="11" xfId="3" applyFont="1" applyFill="1" applyBorder="1" applyAlignment="1">
      <alignment horizontal="left"/>
    </xf>
    <xf numFmtId="0" fontId="50" fillId="0" borderId="28" xfId="3" applyFont="1" applyBorder="1" applyAlignment="1">
      <alignment horizontal="left" vertical="center"/>
    </xf>
    <xf numFmtId="0" fontId="69" fillId="0" borderId="0" xfId="0" applyFont="1"/>
    <xf numFmtId="0" fontId="47" fillId="9" borderId="1" xfId="3" applyFont="1" applyFill="1" applyBorder="1" applyAlignment="1">
      <alignment vertical="center"/>
    </xf>
    <xf numFmtId="4" fontId="24" fillId="10" borderId="24" xfId="3" applyNumberFormat="1" applyFont="1" applyFill="1" applyBorder="1" applyAlignment="1">
      <alignment horizontal="right"/>
    </xf>
    <xf numFmtId="4" fontId="2" fillId="0" borderId="0" xfId="3" applyNumberFormat="1" applyAlignment="1">
      <alignment vertical="center" wrapText="1"/>
    </xf>
    <xf numFmtId="43" fontId="70" fillId="0" borderId="0" xfId="0" applyNumberFormat="1" applyFont="1"/>
    <xf numFmtId="4" fontId="16" fillId="0" borderId="21" xfId="3" applyNumberFormat="1" applyFont="1" applyBorder="1"/>
    <xf numFmtId="166" fontId="60" fillId="0" borderId="0" xfId="0" applyNumberFormat="1" applyFont="1"/>
    <xf numFmtId="4" fontId="5" fillId="10" borderId="4" xfId="3" applyNumberFormat="1" applyFont="1" applyFill="1" applyBorder="1" applyAlignment="1">
      <alignment horizontal="right"/>
    </xf>
    <xf numFmtId="4" fontId="2" fillId="0" borderId="0" xfId="3" applyNumberFormat="1" applyAlignment="1">
      <alignment horizontal="right"/>
    </xf>
    <xf numFmtId="166" fontId="2" fillId="0" borderId="0" xfId="3" applyNumberFormat="1"/>
    <xf numFmtId="49" fontId="9" fillId="0" borderId="0" xfId="3" applyNumberFormat="1" applyFont="1" applyAlignment="1">
      <alignment horizontal="right"/>
    </xf>
    <xf numFmtId="49" fontId="49" fillId="0" borderId="2" xfId="3" applyNumberFormat="1" applyFont="1" applyBorder="1" applyAlignment="1">
      <alignment horizontal="center"/>
    </xf>
    <xf numFmtId="49" fontId="49" fillId="0" borderId="5" xfId="3" applyNumberFormat="1" applyFont="1" applyBorder="1" applyAlignment="1">
      <alignment horizontal="center"/>
    </xf>
    <xf numFmtId="4" fontId="71" fillId="20" borderId="22" xfId="3" applyNumberFormat="1" applyFont="1" applyFill="1" applyBorder="1" applyAlignment="1">
      <alignment horizontal="right"/>
    </xf>
    <xf numFmtId="0" fontId="50" fillId="0" borderId="37" xfId="3" applyFont="1" applyBorder="1" applyAlignment="1">
      <alignment horizontal="left" vertical="center"/>
    </xf>
    <xf numFmtId="49" fontId="49" fillId="0" borderId="11" xfId="3" applyNumberFormat="1" applyFont="1" applyBorder="1" applyAlignment="1">
      <alignment horizontal="center"/>
    </xf>
    <xf numFmtId="4" fontId="49" fillId="0" borderId="1" xfId="3" applyNumberFormat="1" applyFont="1" applyBorder="1" applyAlignment="1">
      <alignment horizontal="right"/>
    </xf>
    <xf numFmtId="4" fontId="71" fillId="20" borderId="48" xfId="3" applyNumberFormat="1" applyFont="1" applyFill="1" applyBorder="1" applyAlignment="1">
      <alignment horizontal="right"/>
    </xf>
    <xf numFmtId="0" fontId="2" fillId="0" borderId="14" xfId="4" applyBorder="1" applyAlignment="1">
      <alignment horizontal="left" vertical="center"/>
    </xf>
    <xf numFmtId="49" fontId="49" fillId="0" borderId="2" xfId="3" applyNumberFormat="1" applyFont="1" applyBorder="1" applyAlignment="1">
      <alignment horizontal="center" vertical="center"/>
    </xf>
    <xf numFmtId="4" fontId="42" fillId="0" borderId="5" xfId="4" applyNumberFormat="1" applyFont="1" applyBorder="1" applyAlignment="1">
      <alignment horizontal="right" vertical="center"/>
    </xf>
    <xf numFmtId="4" fontId="6" fillId="0" borderId="5" xfId="4" applyNumberFormat="1" applyFont="1" applyBorder="1" applyAlignment="1">
      <alignment vertical="center"/>
    </xf>
    <xf numFmtId="4" fontId="49" fillId="0" borderId="22" xfId="3" applyNumberFormat="1" applyFont="1" applyBorder="1" applyAlignment="1">
      <alignment vertical="center"/>
    </xf>
    <xf numFmtId="0" fontId="9" fillId="9" borderId="1" xfId="4" applyFont="1" applyFill="1" applyBorder="1" applyAlignment="1">
      <alignment horizontal="center" vertical="center"/>
    </xf>
    <xf numFmtId="4" fontId="9" fillId="9" borderId="1" xfId="4" applyNumberFormat="1" applyFont="1" applyFill="1" applyBorder="1" applyAlignment="1">
      <alignment vertical="center"/>
    </xf>
    <xf numFmtId="49" fontId="5" fillId="9" borderId="5" xfId="4" applyNumberFormat="1" applyFont="1" applyFill="1" applyBorder="1" applyAlignment="1">
      <alignment horizontal="center" vertical="center"/>
    </xf>
    <xf numFmtId="0" fontId="73" fillId="0" borderId="10" xfId="4" applyFont="1" applyBorder="1" applyAlignment="1">
      <alignment horizontal="center" vertical="center"/>
    </xf>
    <xf numFmtId="49" fontId="75" fillId="0" borderId="5" xfId="4" applyNumberFormat="1" applyFont="1" applyBorder="1" applyAlignment="1">
      <alignment horizontal="center" vertical="center"/>
    </xf>
    <xf numFmtId="49" fontId="75" fillId="0" borderId="2" xfId="4" applyNumberFormat="1" applyFont="1" applyBorder="1" applyAlignment="1">
      <alignment horizontal="center" vertical="center"/>
    </xf>
    <xf numFmtId="0" fontId="75" fillId="0" borderId="11" xfId="4" applyFont="1" applyBorder="1"/>
    <xf numFmtId="0" fontId="75" fillId="0" borderId="12" xfId="4" applyFont="1" applyBorder="1"/>
    <xf numFmtId="0" fontId="9" fillId="18" borderId="11" xfId="4" applyFont="1" applyFill="1" applyBorder="1" applyAlignment="1">
      <alignment horizontal="left" vertical="center"/>
    </xf>
    <xf numFmtId="43" fontId="9" fillId="18" borderId="5" xfId="4" applyNumberFormat="1" applyFont="1" applyFill="1" applyBorder="1" applyAlignment="1">
      <alignment horizontal="center" vertical="center"/>
    </xf>
    <xf numFmtId="43" fontId="49" fillId="20" borderId="5" xfId="4" applyNumberFormat="1" applyFont="1" applyFill="1" applyBorder="1"/>
    <xf numFmtId="43" fontId="2" fillId="20" borderId="5" xfId="4" applyNumberFormat="1" applyFill="1" applyBorder="1"/>
    <xf numFmtId="43" fontId="2" fillId="20" borderId="2" xfId="4" applyNumberFormat="1" applyFill="1" applyBorder="1"/>
    <xf numFmtId="4" fontId="2" fillId="20" borderId="5" xfId="4" applyNumberFormat="1" applyFill="1" applyBorder="1"/>
    <xf numFmtId="0" fontId="25" fillId="0" borderId="21" xfId="4" applyFont="1" applyBorder="1" applyAlignment="1">
      <alignment horizontal="center" vertical="center"/>
    </xf>
    <xf numFmtId="0" fontId="26" fillId="0" borderId="21" xfId="4" applyFont="1" applyBorder="1" applyAlignment="1">
      <alignment horizontal="center" vertical="center"/>
    </xf>
    <xf numFmtId="43" fontId="8" fillId="0" borderId="21" xfId="4" applyNumberFormat="1" applyFont="1" applyBorder="1" applyAlignment="1">
      <alignment horizontal="center" vertical="center"/>
    </xf>
    <xf numFmtId="0" fontId="75" fillId="0" borderId="11" xfId="4" applyFont="1" applyBorder="1" applyAlignment="1">
      <alignment vertical="center"/>
    </xf>
    <xf numFmtId="0" fontId="9" fillId="9" borderId="10" xfId="4" applyFont="1" applyFill="1" applyBorder="1" applyAlignment="1">
      <alignment horizontal="center" vertical="center"/>
    </xf>
    <xf numFmtId="0" fontId="5" fillId="9" borderId="45" xfId="4" applyFont="1" applyFill="1" applyBorder="1" applyAlignment="1">
      <alignment horizontal="right" vertical="center"/>
    </xf>
    <xf numFmtId="4" fontId="74" fillId="0" borderId="7" xfId="4" applyNumberFormat="1" applyFont="1" applyBorder="1" applyAlignment="1">
      <alignment vertical="center"/>
    </xf>
    <xf numFmtId="49" fontId="5" fillId="9" borderId="1" xfId="4" applyNumberFormat="1" applyFont="1" applyFill="1" applyBorder="1" applyAlignment="1">
      <alignment horizontal="center" vertical="center"/>
    </xf>
    <xf numFmtId="4" fontId="2" fillId="20" borderId="5" xfId="4" applyNumberFormat="1" applyFill="1" applyBorder="1" applyAlignment="1">
      <alignment vertical="center"/>
    </xf>
    <xf numFmtId="4" fontId="8" fillId="0" borderId="21" xfId="4" applyNumberFormat="1" applyFont="1" applyBorder="1" applyAlignment="1">
      <alignment vertical="center"/>
    </xf>
    <xf numFmtId="0" fontId="9" fillId="18" borderId="14" xfId="4" applyFont="1" applyFill="1" applyBorder="1" applyAlignment="1">
      <alignment horizontal="left" vertical="center"/>
    </xf>
    <xf numFmtId="165" fontId="45" fillId="18" borderId="13" xfId="4" applyNumberFormat="1" applyFont="1" applyFill="1" applyBorder="1" applyAlignment="1">
      <alignment horizontal="right"/>
    </xf>
    <xf numFmtId="49" fontId="75" fillId="0" borderId="6" xfId="4" applyNumberFormat="1" applyFont="1" applyBorder="1" applyAlignment="1">
      <alignment horizontal="center" vertical="center"/>
    </xf>
    <xf numFmtId="49" fontId="5" fillId="9" borderId="21" xfId="4" applyNumberFormat="1" applyFont="1" applyFill="1" applyBorder="1" applyAlignment="1">
      <alignment horizontal="center" vertical="center"/>
    </xf>
    <xf numFmtId="0" fontId="76" fillId="9" borderId="15" xfId="4" applyFont="1" applyFill="1" applyBorder="1" applyAlignment="1">
      <alignment horizontal="center" vertical="center"/>
    </xf>
    <xf numFmtId="0" fontId="17" fillId="0" borderId="0" xfId="4" applyFont="1" applyAlignment="1">
      <alignment horizontal="center"/>
    </xf>
    <xf numFmtId="4" fontId="8" fillId="0" borderId="21" xfId="4" applyNumberFormat="1" applyFont="1" applyBorder="1" applyAlignment="1">
      <alignment horizontal="center" vertical="center"/>
    </xf>
    <xf numFmtId="0" fontId="5" fillId="9" borderId="21" xfId="3" applyFont="1" applyFill="1" applyBorder="1" applyAlignment="1">
      <alignment vertical="center"/>
    </xf>
    <xf numFmtId="0" fontId="8" fillId="9" borderId="12" xfId="3" applyFont="1" applyFill="1" applyBorder="1" applyAlignment="1">
      <alignment horizontal="center" vertical="center"/>
    </xf>
    <xf numFmtId="4" fontId="5" fillId="9" borderId="2" xfId="3" applyNumberFormat="1" applyFont="1" applyFill="1" applyBorder="1" applyAlignment="1">
      <alignment horizontal="right"/>
    </xf>
    <xf numFmtId="43" fontId="5" fillId="9" borderId="2" xfId="3" applyNumberFormat="1" applyFont="1" applyFill="1" applyBorder="1" applyAlignment="1">
      <alignment horizontal="center" vertical="center"/>
    </xf>
    <xf numFmtId="49" fontId="9" fillId="9" borderId="21" xfId="3" applyNumberFormat="1" applyFont="1" applyFill="1" applyBorder="1" applyAlignment="1">
      <alignment horizontal="center" vertical="center"/>
    </xf>
    <xf numFmtId="43" fontId="43" fillId="10" borderId="21" xfId="3" applyNumberFormat="1" applyFont="1" applyFill="1" applyBorder="1" applyAlignment="1">
      <alignment horizontal="center" vertical="center" indent="1"/>
    </xf>
    <xf numFmtId="43" fontId="49" fillId="0" borderId="22" xfId="3" applyNumberFormat="1" applyFont="1" applyBorder="1" applyAlignment="1">
      <alignment vertical="center"/>
    </xf>
    <xf numFmtId="43" fontId="71" fillId="20" borderId="22" xfId="3" applyNumberFormat="1" applyFont="1" applyFill="1" applyBorder="1" applyAlignment="1">
      <alignment horizontal="right" vertical="center"/>
    </xf>
    <xf numFmtId="43" fontId="71" fillId="20" borderId="48" xfId="3" applyNumberFormat="1" applyFont="1" applyFill="1" applyBorder="1" applyAlignment="1">
      <alignment horizontal="right" vertical="center"/>
    </xf>
    <xf numFmtId="0" fontId="75" fillId="0" borderId="13" xfId="4" applyFont="1" applyBorder="1" applyAlignment="1">
      <alignment vertical="center"/>
    </xf>
    <xf numFmtId="0" fontId="9" fillId="18" borderId="12" xfId="4" applyFont="1" applyFill="1" applyBorder="1" applyAlignment="1">
      <alignment horizontal="left" vertical="center"/>
    </xf>
    <xf numFmtId="0" fontId="76" fillId="9" borderId="15" xfId="4" applyFont="1" applyFill="1" applyBorder="1" applyAlignment="1">
      <alignment horizontal="center" vertical="center" wrapText="1"/>
    </xf>
    <xf numFmtId="0" fontId="81" fillId="14" borderId="21" xfId="4" applyFont="1" applyFill="1" applyBorder="1" applyAlignment="1">
      <alignment horizontal="center" vertical="center"/>
    </xf>
    <xf numFmtId="0" fontId="2" fillId="14" borderId="21" xfId="4" applyFill="1" applyBorder="1"/>
    <xf numFmtId="43" fontId="82" fillId="14" borderId="21" xfId="3" applyNumberFormat="1" applyFont="1" applyFill="1" applyBorder="1" applyAlignment="1">
      <alignment horizontal="center" vertical="center" indent="1"/>
    </xf>
    <xf numFmtId="166" fontId="5" fillId="14" borderId="21" xfId="4" applyNumberFormat="1" applyFont="1" applyFill="1" applyBorder="1" applyAlignment="1">
      <alignment horizontal="center" vertical="center"/>
    </xf>
    <xf numFmtId="43" fontId="43" fillId="20" borderId="21" xfId="3" applyNumberFormat="1" applyFont="1" applyFill="1" applyBorder="1" applyAlignment="1">
      <alignment horizontal="center" vertical="center" indent="1"/>
    </xf>
    <xf numFmtId="43" fontId="5" fillId="9" borderId="21" xfId="3" applyNumberFormat="1" applyFont="1" applyFill="1" applyBorder="1" applyAlignment="1">
      <alignment horizontal="center" vertical="center"/>
    </xf>
    <xf numFmtId="43" fontId="5" fillId="9" borderId="9" xfId="3" applyNumberFormat="1" applyFont="1" applyFill="1" applyBorder="1" applyAlignment="1">
      <alignment horizontal="center" vertical="center"/>
    </xf>
    <xf numFmtId="4" fontId="49" fillId="0" borderId="49" xfId="3" applyNumberFormat="1" applyFont="1" applyBorder="1" applyAlignment="1">
      <alignment vertical="center"/>
    </xf>
    <xf numFmtId="49" fontId="15" fillId="0" borderId="11" xfId="3" applyNumberFormat="1" applyFont="1" applyBorder="1" applyAlignment="1">
      <alignment horizontal="center"/>
    </xf>
    <xf numFmtId="49" fontId="15" fillId="0" borderId="1" xfId="3" applyNumberFormat="1" applyFont="1" applyBorder="1" applyAlignment="1">
      <alignment horizontal="center"/>
    </xf>
    <xf numFmtId="49" fontId="15" fillId="0" borderId="21" xfId="3" applyNumberFormat="1" applyFont="1" applyBorder="1" applyAlignment="1">
      <alignment horizontal="center"/>
    </xf>
    <xf numFmtId="49" fontId="15" fillId="0" borderId="13" xfId="3" applyNumberFormat="1" applyFont="1" applyBorder="1" applyAlignment="1">
      <alignment horizontal="center"/>
    </xf>
    <xf numFmtId="0" fontId="9" fillId="10" borderId="3" xfId="3" applyFont="1" applyFill="1" applyBorder="1" applyAlignment="1">
      <alignment horizontal="center"/>
    </xf>
    <xf numFmtId="0" fontId="9" fillId="10" borderId="31" xfId="3" applyFont="1" applyFill="1" applyBorder="1" applyAlignment="1">
      <alignment horizontal="center"/>
    </xf>
    <xf numFmtId="0" fontId="9" fillId="10" borderId="10" xfId="3" applyFont="1" applyFill="1" applyBorder="1" applyAlignment="1">
      <alignment horizontal="center"/>
    </xf>
    <xf numFmtId="49" fontId="15" fillId="0" borderId="42" xfId="3" applyNumberFormat="1" applyFont="1" applyBorder="1"/>
    <xf numFmtId="49" fontId="15" fillId="0" borderId="43" xfId="3" applyNumberFormat="1" applyFont="1" applyBorder="1"/>
    <xf numFmtId="49" fontId="15" fillId="0" borderId="44" xfId="3" applyNumberFormat="1" applyFont="1" applyBorder="1"/>
    <xf numFmtId="49" fontId="60" fillId="0" borderId="36" xfId="0" applyNumberFormat="1" applyFont="1" applyBorder="1" applyAlignment="1">
      <alignment horizontal="center" vertical="center"/>
    </xf>
    <xf numFmtId="49" fontId="60" fillId="0" borderId="34" xfId="0" applyNumberFormat="1" applyFont="1" applyBorder="1" applyAlignment="1">
      <alignment horizontal="center" vertical="center"/>
    </xf>
    <xf numFmtId="49" fontId="60" fillId="13" borderId="34" xfId="0" applyNumberFormat="1" applyFont="1" applyFill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4" fontId="62" fillId="0" borderId="0" xfId="0" applyNumberFormat="1" applyFont="1" applyAlignment="1">
      <alignment horizontal="right"/>
    </xf>
    <xf numFmtId="170" fontId="65" fillId="0" borderId="0" xfId="4" applyNumberFormat="1" applyFont="1" applyAlignment="1">
      <alignment horizontal="center"/>
    </xf>
    <xf numFmtId="10" fontId="2" fillId="0" borderId="0" xfId="4" applyNumberFormat="1" applyAlignment="1">
      <alignment horizontal="center" vertical="center"/>
    </xf>
    <xf numFmtId="49" fontId="63" fillId="0" borderId="21" xfId="0" applyNumberFormat="1" applyFont="1" applyBorder="1" applyAlignment="1">
      <alignment horizontal="center"/>
    </xf>
    <xf numFmtId="43" fontId="63" fillId="0" borderId="21" xfId="0" applyNumberFormat="1" applyFont="1" applyBorder="1" applyAlignment="1">
      <alignment horizontal="center"/>
    </xf>
    <xf numFmtId="0" fontId="83" fillId="0" borderId="21" xfId="0" applyFont="1" applyBorder="1"/>
    <xf numFmtId="4" fontId="62" fillId="0" borderId="21" xfId="0" applyNumberFormat="1" applyFont="1" applyBorder="1" applyAlignment="1">
      <alignment horizontal="right"/>
    </xf>
    <xf numFmtId="0" fontId="84" fillId="0" borderId="21" xfId="0" applyFont="1" applyBorder="1"/>
    <xf numFmtId="43" fontId="85" fillId="0" borderId="37" xfId="0" applyNumberFormat="1" applyFont="1" applyBorder="1"/>
    <xf numFmtId="0" fontId="11" fillId="0" borderId="34" xfId="3" applyFont="1" applyBorder="1" applyAlignment="1">
      <alignment vertical="center"/>
    </xf>
    <xf numFmtId="9" fontId="1" fillId="0" borderId="5" xfId="1" applyFont="1" applyBorder="1" applyAlignment="1" applyProtection="1">
      <alignment horizontal="center"/>
    </xf>
    <xf numFmtId="9" fontId="0" fillId="0" borderId="0" xfId="0" applyNumberFormat="1"/>
    <xf numFmtId="10" fontId="0" fillId="0" borderId="0" xfId="0" applyNumberFormat="1"/>
    <xf numFmtId="0" fontId="37" fillId="0" borderId="21" xfId="2" applyFont="1" applyBorder="1"/>
    <xf numFmtId="4" fontId="55" fillId="0" borderId="24" xfId="0" applyNumberFormat="1" applyFont="1" applyBorder="1"/>
    <xf numFmtId="0" fontId="37" fillId="0" borderId="1" xfId="2" applyFont="1" applyBorder="1"/>
    <xf numFmtId="0" fontId="86" fillId="0" borderId="5" xfId="2" applyFont="1" applyBorder="1"/>
    <xf numFmtId="4" fontId="87" fillId="0" borderId="21" xfId="0" applyNumberFormat="1" applyFont="1" applyBorder="1"/>
    <xf numFmtId="49" fontId="60" fillId="0" borderId="51" xfId="0" applyNumberFormat="1" applyFont="1" applyBorder="1" applyAlignment="1">
      <alignment horizontal="center" vertical="center"/>
    </xf>
    <xf numFmtId="49" fontId="60" fillId="13" borderId="51" xfId="0" applyNumberFormat="1" applyFont="1" applyFill="1" applyBorder="1" applyAlignment="1">
      <alignment horizontal="center" vertical="center"/>
    </xf>
    <xf numFmtId="0" fontId="60" fillId="0" borderId="34" xfId="0" applyFont="1" applyBorder="1" applyAlignment="1">
      <alignment horizontal="center"/>
    </xf>
    <xf numFmtId="4" fontId="60" fillId="0" borderId="34" xfId="0" applyNumberFormat="1" applyFont="1" applyBorder="1"/>
    <xf numFmtId="0" fontId="61" fillId="0" borderId="0" xfId="0" applyFont="1"/>
    <xf numFmtId="4" fontId="61" fillId="0" borderId="0" xfId="0" applyNumberFormat="1" applyFont="1"/>
    <xf numFmtId="2" fontId="59" fillId="0" borderId="33" xfId="0" applyNumberFormat="1" applyFont="1" applyBorder="1"/>
    <xf numFmtId="0" fontId="61" fillId="0" borderId="21" xfId="0" applyFont="1" applyBorder="1" applyAlignment="1">
      <alignment horizontal="center"/>
    </xf>
    <xf numFmtId="4" fontId="60" fillId="0" borderId="21" xfId="0" applyNumberFormat="1" applyFont="1" applyBorder="1" applyAlignment="1">
      <alignment vertical="center"/>
    </xf>
    <xf numFmtId="4" fontId="61" fillId="0" borderId="21" xfId="0" applyNumberFormat="1" applyFont="1" applyBorder="1"/>
    <xf numFmtId="0" fontId="60" fillId="0" borderId="21" xfId="0" applyFont="1" applyBorder="1" applyAlignment="1">
      <alignment horizontal="center" vertical="center" wrapText="1"/>
    </xf>
    <xf numFmtId="49" fontId="60" fillId="13" borderId="31" xfId="0" applyNumberFormat="1" applyFont="1" applyFill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/>
    </xf>
    <xf numFmtId="43" fontId="53" fillId="0" borderId="27" xfId="0" applyNumberFormat="1" applyFont="1" applyBorder="1" applyAlignment="1">
      <alignment horizontal="center" vertical="center"/>
    </xf>
    <xf numFmtId="43" fontId="53" fillId="0" borderId="21" xfId="0" applyNumberFormat="1" applyFont="1" applyBorder="1" applyAlignment="1">
      <alignment horizontal="center" vertical="center"/>
    </xf>
    <xf numFmtId="4" fontId="43" fillId="0" borderId="21" xfId="4" applyNumberFormat="1" applyFont="1" applyBorder="1" applyAlignment="1">
      <alignment horizontal="center" vertical="center"/>
    </xf>
    <xf numFmtId="43" fontId="53" fillId="13" borderId="27" xfId="0" applyNumberFormat="1" applyFont="1" applyFill="1" applyBorder="1" applyAlignment="1">
      <alignment horizontal="center" vertical="center"/>
    </xf>
    <xf numFmtId="43" fontId="60" fillId="0" borderId="21" xfId="0" applyNumberFormat="1" applyFont="1" applyBorder="1" applyAlignment="1">
      <alignment horizontal="center" vertical="center"/>
    </xf>
    <xf numFmtId="0" fontId="75" fillId="0" borderId="12" xfId="4" applyFont="1" applyBorder="1" applyAlignment="1">
      <alignment vertical="center"/>
    </xf>
    <xf numFmtId="0" fontId="74" fillId="0" borderId="7" xfId="4" applyFont="1" applyBorder="1" applyAlignment="1">
      <alignment horizontal="center" vertical="center"/>
    </xf>
    <xf numFmtId="0" fontId="76" fillId="9" borderId="10" xfId="4" applyFont="1" applyFill="1" applyBorder="1" applyAlignment="1">
      <alignment horizontal="center" vertical="center"/>
    </xf>
    <xf numFmtId="0" fontId="88" fillId="0" borderId="11" xfId="4" applyFont="1" applyBorder="1" applyAlignment="1">
      <alignment vertical="center"/>
    </xf>
    <xf numFmtId="43" fontId="2" fillId="20" borderId="5" xfId="4" applyNumberFormat="1" applyFill="1" applyBorder="1" applyAlignment="1">
      <alignment vertical="center"/>
    </xf>
    <xf numFmtId="0" fontId="89" fillId="0" borderId="11" xfId="4" applyFont="1" applyBorder="1"/>
    <xf numFmtId="0" fontId="88" fillId="0" borderId="11" xfId="4" applyFont="1" applyBorder="1" applyAlignment="1">
      <alignment horizontal="left" vertical="center"/>
    </xf>
    <xf numFmtId="9" fontId="2" fillId="0" borderId="0" xfId="4" applyNumberFormat="1" applyAlignment="1">
      <alignment horizontal="center" vertical="center"/>
    </xf>
    <xf numFmtId="0" fontId="6" fillId="20" borderId="0" xfId="4" applyFont="1" applyFill="1"/>
    <xf numFmtId="3" fontId="6" fillId="20" borderId="0" xfId="4" applyNumberFormat="1" applyFont="1" applyFill="1"/>
    <xf numFmtId="43" fontId="6" fillId="20" borderId="0" xfId="4" applyNumberFormat="1" applyFont="1" applyFill="1"/>
    <xf numFmtId="9" fontId="58" fillId="0" borderId="21" xfId="0" applyNumberFormat="1" applyFont="1" applyBorder="1" applyAlignment="1">
      <alignment horizontal="center" vertical="center"/>
    </xf>
    <xf numFmtId="9" fontId="57" fillId="0" borderId="21" xfId="0" applyNumberFormat="1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4" fontId="91" fillId="0" borderId="0" xfId="0" applyNumberFormat="1" applyFont="1"/>
    <xf numFmtId="3" fontId="0" fillId="0" borderId="0" xfId="0" applyNumberFormat="1"/>
    <xf numFmtId="0" fontId="92" fillId="0" borderId="0" xfId="0" applyFont="1"/>
    <xf numFmtId="43" fontId="0" fillId="0" borderId="0" xfId="0" applyNumberFormat="1"/>
    <xf numFmtId="0" fontId="41" fillId="0" borderId="0" xfId="0" applyFont="1" applyAlignment="1">
      <alignment horizontal="center" vertical="center"/>
    </xf>
    <xf numFmtId="0" fontId="61" fillId="0" borderId="21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4" fontId="53" fillId="13" borderId="21" xfId="0" applyNumberFormat="1" applyFont="1" applyFill="1" applyBorder="1" applyAlignment="1">
      <alignment vertical="center"/>
    </xf>
    <xf numFmtId="2" fontId="60" fillId="0" borderId="21" xfId="0" applyNumberFormat="1" applyFont="1" applyBorder="1" applyAlignment="1">
      <alignment vertical="center"/>
    </xf>
    <xf numFmtId="0" fontId="38" fillId="10" borderId="5" xfId="0" applyFont="1" applyFill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5" xfId="2" applyFont="1" applyBorder="1" applyAlignment="1">
      <alignment horizontal="center"/>
    </xf>
    <xf numFmtId="0" fontId="57" fillId="0" borderId="27" xfId="0" applyFont="1" applyBorder="1" applyAlignment="1">
      <alignment horizontal="center" vertical="center"/>
    </xf>
    <xf numFmtId="4" fontId="57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50" fillId="2" borderId="21" xfId="6" applyNumberFormat="1" applyFont="1" applyFill="1" applyBorder="1" applyAlignment="1">
      <alignment horizontal="right" vertical="center"/>
    </xf>
    <xf numFmtId="4" fontId="94" fillId="0" borderId="21" xfId="6" applyNumberFormat="1" applyFont="1" applyBorder="1" applyAlignment="1">
      <alignment horizontal="right" vertical="center"/>
    </xf>
    <xf numFmtId="4" fontId="50" fillId="2" borderId="21" xfId="6" applyNumberFormat="1" applyFont="1" applyFill="1" applyBorder="1" applyAlignment="1">
      <alignment horizontal="right"/>
    </xf>
    <xf numFmtId="43" fontId="94" fillId="0" borderId="21" xfId="6" applyNumberFormat="1" applyFont="1" applyBorder="1" applyAlignment="1">
      <alignment horizontal="center" vertical="center"/>
    </xf>
    <xf numFmtId="43" fontId="50" fillId="2" borderId="21" xfId="6" applyNumberFormat="1" applyFont="1" applyFill="1" applyBorder="1" applyAlignment="1">
      <alignment horizontal="center" vertical="center"/>
    </xf>
    <xf numFmtId="43" fontId="50" fillId="2" borderId="21" xfId="6" applyNumberFormat="1" applyFont="1" applyFill="1" applyBorder="1" applyAlignment="1">
      <alignment horizontal="right" vertical="center"/>
    </xf>
    <xf numFmtId="43" fontId="94" fillId="0" borderId="21" xfId="6" applyNumberFormat="1" applyFont="1" applyBorder="1" applyAlignment="1">
      <alignment horizontal="right" vertical="center"/>
    </xf>
    <xf numFmtId="4" fontId="50" fillId="2" borderId="27" xfId="6" applyNumberFormat="1" applyFont="1" applyFill="1" applyBorder="1" applyAlignment="1">
      <alignment horizontal="right" vertical="center"/>
    </xf>
    <xf numFmtId="4" fontId="94" fillId="0" borderId="27" xfId="6" applyNumberFormat="1" applyFont="1" applyBorder="1" applyAlignment="1">
      <alignment horizontal="right" vertical="center"/>
    </xf>
    <xf numFmtId="4" fontId="50" fillId="0" borderId="21" xfId="6" applyNumberFormat="1" applyFont="1" applyBorder="1" applyAlignment="1">
      <alignment horizontal="right" vertical="center"/>
    </xf>
    <xf numFmtId="4" fontId="50" fillId="0" borderId="21" xfId="0" applyNumberFormat="1" applyFont="1" applyBorder="1" applyAlignment="1">
      <alignment horizontal="right" vertical="center"/>
    </xf>
    <xf numFmtId="49" fontId="93" fillId="0" borderId="21" xfId="6" applyNumberFormat="1" applyFont="1" applyBorder="1" applyAlignment="1">
      <alignment horizontal="center" vertical="center" wrapText="1"/>
    </xf>
    <xf numFmtId="49" fontId="93" fillId="2" borderId="21" xfId="6" applyNumberFormat="1" applyFont="1" applyFill="1" applyBorder="1" applyAlignment="1">
      <alignment horizontal="center" vertical="center" wrapText="1"/>
    </xf>
    <xf numFmtId="4" fontId="50" fillId="2" borderId="24" xfId="6" applyNumberFormat="1" applyFont="1" applyFill="1" applyBorder="1" applyAlignment="1">
      <alignment horizontal="right" vertical="center"/>
    </xf>
    <xf numFmtId="0" fontId="93" fillId="0" borderId="21" xfId="0" applyFont="1" applyBorder="1" applyAlignment="1">
      <alignment horizontal="center" vertical="center" wrapText="1"/>
    </xf>
    <xf numFmtId="4" fontId="50" fillId="0" borderId="24" xfId="6" applyNumberFormat="1" applyFont="1" applyBorder="1" applyAlignment="1">
      <alignment horizontal="right" vertical="center"/>
    </xf>
    <xf numFmtId="4" fontId="50" fillId="2" borderId="24" xfId="6" applyNumberFormat="1" applyFont="1" applyFill="1" applyBorder="1" applyAlignment="1">
      <alignment horizontal="right"/>
    </xf>
    <xf numFmtId="49" fontId="93" fillId="2" borderId="21" xfId="6" applyNumberFormat="1" applyFont="1" applyFill="1" applyBorder="1" applyAlignment="1">
      <alignment horizontal="center" wrapText="1"/>
    </xf>
    <xf numFmtId="43" fontId="50" fillId="0" borderId="24" xfId="6" applyNumberFormat="1" applyFont="1" applyBorder="1" applyAlignment="1">
      <alignment horizontal="center" vertical="center"/>
    </xf>
    <xf numFmtId="43" fontId="50" fillId="2" borderId="24" xfId="6" applyNumberFormat="1" applyFont="1" applyFill="1" applyBorder="1" applyAlignment="1">
      <alignment horizontal="center" vertical="center"/>
    </xf>
    <xf numFmtId="43" fontId="50" fillId="2" borderId="24" xfId="6" applyNumberFormat="1" applyFont="1" applyFill="1" applyBorder="1" applyAlignment="1">
      <alignment horizontal="right" vertical="center"/>
    </xf>
    <xf numFmtId="43" fontId="50" fillId="0" borderId="24" xfId="6" applyNumberFormat="1" applyFont="1" applyBorder="1" applyAlignment="1">
      <alignment horizontal="right" vertical="center"/>
    </xf>
    <xf numFmtId="4" fontId="50" fillId="2" borderId="38" xfId="6" applyNumberFormat="1" applyFont="1" applyFill="1" applyBorder="1" applyAlignment="1">
      <alignment horizontal="right" vertical="center"/>
    </xf>
    <xf numFmtId="4" fontId="7" fillId="0" borderId="6" xfId="6" applyNumberFormat="1" applyFont="1" applyBorder="1" applyAlignment="1">
      <alignment horizontal="right" vertical="center"/>
    </xf>
    <xf numFmtId="43" fontId="7" fillId="0" borderId="6" xfId="6" applyNumberFormat="1" applyFont="1" applyBorder="1" applyAlignment="1">
      <alignment horizontal="right" vertical="center"/>
    </xf>
    <xf numFmtId="49" fontId="93" fillId="0" borderId="27" xfId="6" applyNumberFormat="1" applyFont="1" applyBorder="1" applyAlignment="1">
      <alignment horizontal="center" vertical="center" wrapText="1"/>
    </xf>
    <xf numFmtId="49" fontId="93" fillId="2" borderId="27" xfId="6" applyNumberFormat="1" applyFont="1" applyFill="1" applyBorder="1" applyAlignment="1">
      <alignment horizontal="center" vertical="center" wrapText="1"/>
    </xf>
    <xf numFmtId="4" fontId="50" fillId="2" borderId="27" xfId="6" applyNumberFormat="1" applyFont="1" applyFill="1" applyBorder="1" applyAlignment="1">
      <alignment horizontal="right"/>
    </xf>
    <xf numFmtId="4" fontId="50" fillId="2" borderId="38" xfId="6" applyNumberFormat="1" applyFont="1" applyFill="1" applyBorder="1" applyAlignment="1">
      <alignment horizontal="right"/>
    </xf>
    <xf numFmtId="4" fontId="50" fillId="0" borderId="38" xfId="0" applyNumberFormat="1" applyFont="1" applyBorder="1" applyAlignment="1">
      <alignment vertical="center"/>
    </xf>
    <xf numFmtId="4" fontId="50" fillId="0" borderId="27" xfId="6" applyNumberFormat="1" applyFont="1" applyBorder="1" applyAlignment="1">
      <alignment horizontal="right" vertical="center"/>
    </xf>
    <xf numFmtId="43" fontId="94" fillId="0" borderId="27" xfId="6" applyNumberFormat="1" applyFont="1" applyBorder="1" applyAlignment="1">
      <alignment horizontal="right" vertical="center"/>
    </xf>
    <xf numFmtId="4" fontId="6" fillId="2" borderId="57" xfId="6" applyNumberFormat="1" applyFont="1" applyFill="1" applyBorder="1" applyAlignment="1">
      <alignment horizontal="right" vertical="center"/>
    </xf>
    <xf numFmtId="4" fontId="7" fillId="0" borderId="55" xfId="6" applyNumberFormat="1" applyFont="1" applyBorder="1" applyAlignment="1">
      <alignment horizontal="right" vertical="center"/>
    </xf>
    <xf numFmtId="49" fontId="93" fillId="0" borderId="34" xfId="6" applyNumberFormat="1" applyFont="1" applyBorder="1" applyAlignment="1">
      <alignment horizontal="center" vertical="center" wrapText="1"/>
    </xf>
    <xf numFmtId="49" fontId="93" fillId="2" borderId="34" xfId="6" applyNumberFormat="1" applyFont="1" applyFill="1" applyBorder="1" applyAlignment="1">
      <alignment horizontal="center" vertical="center" wrapText="1"/>
    </xf>
    <xf numFmtId="4" fontId="50" fillId="2" borderId="34" xfId="6" applyNumberFormat="1" applyFont="1" applyFill="1" applyBorder="1" applyAlignment="1">
      <alignment horizontal="right" vertical="center"/>
    </xf>
    <xf numFmtId="4" fontId="50" fillId="2" borderId="36" xfId="6" applyNumberFormat="1" applyFont="1" applyFill="1" applyBorder="1" applyAlignment="1">
      <alignment horizontal="right" vertical="center"/>
    </xf>
    <xf numFmtId="9" fontId="2" fillId="0" borderId="0" xfId="0" applyNumberFormat="1" applyFont="1"/>
    <xf numFmtId="0" fontId="95" fillId="0" borderId="0" xfId="3" applyFont="1"/>
    <xf numFmtId="4" fontId="95" fillId="0" borderId="0" xfId="3" applyNumberFormat="1" applyFont="1"/>
    <xf numFmtId="43" fontId="95" fillId="0" borderId="0" xfId="3" applyNumberFormat="1" applyFont="1"/>
    <xf numFmtId="43" fontId="95" fillId="0" borderId="0" xfId="3" applyNumberFormat="1" applyFont="1" applyAlignment="1">
      <alignment horizontal="left"/>
    </xf>
    <xf numFmtId="4" fontId="95" fillId="0" borderId="0" xfId="3" applyNumberFormat="1" applyFont="1" applyAlignment="1">
      <alignment horizontal="right"/>
    </xf>
    <xf numFmtId="4" fontId="96" fillId="0" borderId="0" xfId="3" applyNumberFormat="1" applyFont="1"/>
    <xf numFmtId="43" fontId="95" fillId="0" borderId="0" xfId="3" applyNumberFormat="1" applyFont="1" applyAlignment="1">
      <alignment horizontal="right"/>
    </xf>
    <xf numFmtId="49" fontId="15" fillId="0" borderId="20" xfId="3" applyNumberFormat="1" applyFont="1" applyBorder="1"/>
    <xf numFmtId="0" fontId="7" fillId="0" borderId="64" xfId="6" applyFont="1" applyBorder="1" applyAlignment="1">
      <alignment horizontal="center" vertical="center" wrapText="1"/>
    </xf>
    <xf numFmtId="0" fontId="7" fillId="0" borderId="65" xfId="6" applyFont="1" applyBorder="1" applyAlignment="1">
      <alignment horizontal="center" vertical="center" wrapText="1"/>
    </xf>
    <xf numFmtId="0" fontId="7" fillId="0" borderId="66" xfId="6" applyFont="1" applyBorder="1" applyAlignment="1">
      <alignment horizontal="center" vertical="center" wrapText="1"/>
    </xf>
    <xf numFmtId="0" fontId="7" fillId="0" borderId="67" xfId="6" applyFont="1" applyBorder="1" applyAlignment="1">
      <alignment horizontal="center" vertical="center" wrapText="1"/>
    </xf>
    <xf numFmtId="0" fontId="7" fillId="0" borderId="68" xfId="6" applyFont="1" applyBorder="1" applyAlignment="1">
      <alignment horizontal="center" vertical="center" wrapText="1"/>
    </xf>
    <xf numFmtId="0" fontId="8" fillId="0" borderId="70" xfId="6" applyFont="1" applyBorder="1" applyAlignment="1">
      <alignment horizontal="center" vertical="center" wrapText="1"/>
    </xf>
    <xf numFmtId="0" fontId="8" fillId="0" borderId="69" xfId="6" applyFont="1" applyBorder="1" applyAlignment="1">
      <alignment horizontal="center" vertical="center" wrapText="1"/>
    </xf>
    <xf numFmtId="0" fontId="8" fillId="0" borderId="71" xfId="6" applyFont="1" applyBorder="1" applyAlignment="1">
      <alignment horizontal="center" vertical="center" wrapText="1"/>
    </xf>
    <xf numFmtId="0" fontId="8" fillId="0" borderId="72" xfId="6" applyFont="1" applyBorder="1" applyAlignment="1">
      <alignment horizontal="center" vertical="center" wrapText="1"/>
    </xf>
    <xf numFmtId="0" fontId="8" fillId="0" borderId="73" xfId="6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98" fillId="0" borderId="0" xfId="0" applyFont="1" applyAlignment="1">
      <alignment vertical="center"/>
    </xf>
    <xf numFmtId="0" fontId="98" fillId="0" borderId="0" xfId="0" applyFont="1"/>
    <xf numFmtId="4" fontId="5" fillId="8" borderId="18" xfId="6" applyNumberFormat="1" applyFont="1" applyFill="1" applyBorder="1" applyAlignment="1">
      <alignment horizontal="right" vertical="center" wrapText="1"/>
    </xf>
    <xf numFmtId="4" fontId="5" fillId="8" borderId="59" xfId="6" applyNumberFormat="1" applyFont="1" applyFill="1" applyBorder="1" applyAlignment="1">
      <alignment horizontal="right" vertical="center" wrapText="1"/>
    </xf>
    <xf numFmtId="49" fontId="72" fillId="8" borderId="74" xfId="6" applyNumberFormat="1" applyFont="1" applyFill="1" applyBorder="1" applyAlignment="1">
      <alignment horizontal="center" vertical="center" wrapText="1"/>
    </xf>
    <xf numFmtId="49" fontId="72" fillId="8" borderId="61" xfId="6" applyNumberFormat="1" applyFont="1" applyFill="1" applyBorder="1" applyAlignment="1">
      <alignment horizontal="center" vertical="center" wrapText="1"/>
    </xf>
    <xf numFmtId="49" fontId="72" fillId="8" borderId="75" xfId="6" applyNumberFormat="1" applyFont="1" applyFill="1" applyBorder="1" applyAlignment="1">
      <alignment horizontal="center" vertical="center" wrapText="1"/>
    </xf>
    <xf numFmtId="49" fontId="9" fillId="0" borderId="6" xfId="6" applyNumberFormat="1" applyFont="1" applyBorder="1" applyAlignment="1">
      <alignment horizontal="center" vertical="center" wrapText="1"/>
    </xf>
    <xf numFmtId="49" fontId="72" fillId="22" borderId="53" xfId="6" applyNumberFormat="1" applyFont="1" applyFill="1" applyBorder="1" applyAlignment="1">
      <alignment horizontal="center" vertical="center" wrapText="1"/>
    </xf>
    <xf numFmtId="49" fontId="72" fillId="22" borderId="54" xfId="6" applyNumberFormat="1" applyFont="1" applyFill="1" applyBorder="1" applyAlignment="1">
      <alignment horizontal="center" vertical="center" wrapText="1"/>
    </xf>
    <xf numFmtId="49" fontId="72" fillId="22" borderId="55" xfId="6" applyNumberFormat="1" applyFont="1" applyFill="1" applyBorder="1" applyAlignment="1">
      <alignment horizontal="center" vertical="center" wrapText="1"/>
    </xf>
    <xf numFmtId="49" fontId="9" fillId="2" borderId="56" xfId="6" applyNumberFormat="1" applyFont="1" applyFill="1" applyBorder="1" applyAlignment="1">
      <alignment horizontal="center" vertical="center" wrapText="1"/>
    </xf>
    <xf numFmtId="49" fontId="9" fillId="2" borderId="57" xfId="6" applyNumberFormat="1" applyFont="1" applyFill="1" applyBorder="1" applyAlignment="1">
      <alignment horizontal="center" vertical="center" wrapText="1"/>
    </xf>
    <xf numFmtId="0" fontId="72" fillId="8" borderId="58" xfId="6" applyFont="1" applyFill="1" applyBorder="1" applyAlignment="1">
      <alignment horizontal="center" vertical="center" wrapText="1"/>
    </xf>
    <xf numFmtId="0" fontId="40" fillId="0" borderId="60" xfId="6" applyFont="1" applyBorder="1" applyAlignment="1">
      <alignment horizontal="center" vertical="center" wrapText="1"/>
    </xf>
    <xf numFmtId="0" fontId="40" fillId="0" borderId="17" xfId="6" applyFont="1" applyBorder="1" applyAlignment="1">
      <alignment horizontal="center" vertical="center" wrapText="1"/>
    </xf>
    <xf numFmtId="0" fontId="7" fillId="0" borderId="76" xfId="6" applyFont="1" applyBorder="1" applyAlignment="1">
      <alignment horizontal="center" vertical="center" wrapText="1"/>
    </xf>
    <xf numFmtId="0" fontId="7" fillId="0" borderId="77" xfId="6" applyFont="1" applyBorder="1" applyAlignment="1">
      <alignment horizontal="center" vertical="center" wrapText="1"/>
    </xf>
    <xf numFmtId="0" fontId="7" fillId="0" borderId="63" xfId="6" applyFont="1" applyBorder="1" applyAlignment="1">
      <alignment horizontal="center" vertical="center" wrapText="1"/>
    </xf>
    <xf numFmtId="0" fontId="7" fillId="0" borderId="78" xfId="6" applyFont="1" applyBorder="1" applyAlignment="1">
      <alignment horizontal="center" vertical="center" wrapText="1"/>
    </xf>
    <xf numFmtId="0" fontId="7" fillId="0" borderId="62" xfId="6" applyFont="1" applyBorder="1" applyAlignment="1">
      <alignment horizontal="center" vertical="center" wrapText="1"/>
    </xf>
    <xf numFmtId="0" fontId="7" fillId="0" borderId="69" xfId="6" applyFont="1" applyBorder="1" applyAlignment="1">
      <alignment horizontal="center" vertical="center" wrapText="1"/>
    </xf>
    <xf numFmtId="0" fontId="8" fillId="0" borderId="63" xfId="6" applyFont="1" applyBorder="1" applyAlignment="1">
      <alignment horizontal="center" vertical="center" wrapText="1"/>
    </xf>
    <xf numFmtId="0" fontId="8" fillId="0" borderId="62" xfId="6" applyFont="1" applyBorder="1" applyAlignment="1">
      <alignment horizontal="center" vertical="center" wrapText="1"/>
    </xf>
    <xf numFmtId="0" fontId="8" fillId="0" borderId="69" xfId="6" applyFont="1" applyBorder="1" applyAlignment="1">
      <alignment horizontal="center" vertical="center" wrapText="1"/>
    </xf>
    <xf numFmtId="0" fontId="5" fillId="0" borderId="63" xfId="6" applyFont="1" applyBorder="1" applyAlignment="1">
      <alignment horizontal="center" vertical="center" wrapText="1"/>
    </xf>
    <xf numFmtId="0" fontId="5" fillId="0" borderId="62" xfId="6" applyFont="1" applyBorder="1" applyAlignment="1">
      <alignment horizontal="center" vertical="center" wrapText="1"/>
    </xf>
    <xf numFmtId="0" fontId="40" fillId="8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7" fillId="22" borderId="0" xfId="0" applyFont="1" applyFill="1" applyAlignment="1">
      <alignment horizontal="center" vertical="center"/>
    </xf>
    <xf numFmtId="0" fontId="72" fillId="22" borderId="0" xfId="0" applyFont="1" applyFill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63" fillId="0" borderId="21" xfId="0" applyFont="1" applyBorder="1" applyAlignment="1">
      <alignment horizontal="center"/>
    </xf>
    <xf numFmtId="49" fontId="62" fillId="0" borderId="21" xfId="0" applyNumberFormat="1" applyFont="1" applyBorder="1" applyAlignment="1">
      <alignment horizontal="center" vertical="center"/>
    </xf>
    <xf numFmtId="0" fontId="61" fillId="0" borderId="31" xfId="0" applyFont="1" applyBorder="1" applyAlignment="1">
      <alignment horizontal="center"/>
    </xf>
    <xf numFmtId="0" fontId="61" fillId="0" borderId="32" xfId="0" applyFont="1" applyBorder="1" applyAlignment="1">
      <alignment horizontal="center"/>
    </xf>
    <xf numFmtId="0" fontId="61" fillId="0" borderId="24" xfId="0" applyFont="1" applyBorder="1" applyAlignment="1">
      <alignment horizontal="center"/>
    </xf>
    <xf numFmtId="0" fontId="53" fillId="0" borderId="31" xfId="3" applyFont="1" applyBorder="1" applyAlignment="1">
      <alignment horizontal="center" vertical="center"/>
    </xf>
    <xf numFmtId="0" fontId="53" fillId="0" borderId="32" xfId="3" applyFont="1" applyBorder="1" applyAlignment="1">
      <alignment horizontal="center" vertical="center"/>
    </xf>
    <xf numFmtId="0" fontId="61" fillId="0" borderId="21" xfId="0" applyFont="1" applyBorder="1" applyAlignment="1">
      <alignment horizontal="left" vertical="center"/>
    </xf>
    <xf numFmtId="0" fontId="62" fillId="0" borderId="21" xfId="0" applyFont="1" applyBorder="1" applyAlignment="1">
      <alignment horizontal="center" vertical="center"/>
    </xf>
    <xf numFmtId="0" fontId="67" fillId="0" borderId="21" xfId="3" applyFont="1" applyBorder="1" applyAlignment="1">
      <alignment horizontal="left" vertical="center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62" fillId="0" borderId="27" xfId="0" applyFont="1" applyBorder="1" applyAlignment="1">
      <alignment horizontal="center" vertical="center"/>
    </xf>
    <xf numFmtId="0" fontId="63" fillId="0" borderId="0" xfId="0" applyFont="1" applyAlignment="1">
      <alignment horizontal="center"/>
    </xf>
    <xf numFmtId="49" fontId="61" fillId="0" borderId="21" xfId="0" applyNumberFormat="1" applyFont="1" applyBorder="1" applyAlignment="1">
      <alignment horizontal="center"/>
    </xf>
    <xf numFmtId="0" fontId="60" fillId="0" borderId="34" xfId="3" applyFont="1" applyBorder="1" applyAlignment="1">
      <alignment horizontal="center" vertical="center"/>
    </xf>
    <xf numFmtId="0" fontId="60" fillId="0" borderId="35" xfId="3" applyFont="1" applyBorder="1" applyAlignment="1">
      <alignment horizontal="center" vertical="center"/>
    </xf>
    <xf numFmtId="0" fontId="60" fillId="0" borderId="27" xfId="3" applyFont="1" applyBorder="1" applyAlignment="1">
      <alignment horizontal="center" vertical="center"/>
    </xf>
    <xf numFmtId="0" fontId="60" fillId="0" borderId="21" xfId="3" applyFont="1" applyBorder="1" applyAlignment="1">
      <alignment horizontal="left" vertical="center"/>
    </xf>
    <xf numFmtId="49" fontId="61" fillId="0" borderId="21" xfId="0" applyNumberFormat="1" applyFont="1" applyBorder="1" applyAlignment="1">
      <alignment horizontal="center" vertical="center"/>
    </xf>
    <xf numFmtId="4" fontId="5" fillId="8" borderId="21" xfId="3" applyNumberFormat="1" applyFont="1" applyFill="1" applyBorder="1" applyAlignment="1">
      <alignment horizontal="right" vertical="center"/>
    </xf>
    <xf numFmtId="0" fontId="5" fillId="8" borderId="21" xfId="3" applyFont="1" applyFill="1" applyBorder="1" applyAlignment="1">
      <alignment horizontal="left" vertical="center"/>
    </xf>
    <xf numFmtId="0" fontId="5" fillId="14" borderId="21" xfId="3" applyFont="1" applyFill="1" applyBorder="1" applyAlignment="1">
      <alignment horizontal="left" vertical="center"/>
    </xf>
    <xf numFmtId="0" fontId="5" fillId="14" borderId="21" xfId="3" applyFont="1" applyFill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  <xf numFmtId="4" fontId="2" fillId="0" borderId="27" xfId="3" applyNumberFormat="1" applyBorder="1" applyAlignment="1">
      <alignment horizontal="right" vertical="center"/>
    </xf>
    <xf numFmtId="0" fontId="5" fillId="21" borderId="33" xfId="4" applyFont="1" applyFill="1" applyBorder="1" applyAlignment="1">
      <alignment horizontal="center" vertical="center"/>
    </xf>
    <xf numFmtId="0" fontId="5" fillId="21" borderId="36" xfId="4" applyFont="1" applyFill="1" applyBorder="1" applyAlignment="1">
      <alignment horizontal="center" vertical="center"/>
    </xf>
    <xf numFmtId="0" fontId="5" fillId="21" borderId="46" xfId="4" applyFont="1" applyFill="1" applyBorder="1" applyAlignment="1">
      <alignment horizontal="center" vertical="center"/>
    </xf>
    <xf numFmtId="0" fontId="5" fillId="21" borderId="47" xfId="4" applyFont="1" applyFill="1" applyBorder="1" applyAlignment="1">
      <alignment horizontal="center" vertical="center"/>
    </xf>
    <xf numFmtId="0" fontId="5" fillId="21" borderId="50" xfId="4" applyFont="1" applyFill="1" applyBorder="1" applyAlignment="1">
      <alignment horizontal="center" vertical="center"/>
    </xf>
    <xf numFmtId="0" fontId="5" fillId="21" borderId="28" xfId="4" applyFont="1" applyFill="1" applyBorder="1" applyAlignment="1">
      <alignment horizontal="center" vertical="center"/>
    </xf>
    <xf numFmtId="4" fontId="2" fillId="0" borderId="21" xfId="3" applyNumberFormat="1" applyBorder="1" applyAlignment="1">
      <alignment horizontal="right" vertical="center"/>
    </xf>
    <xf numFmtId="0" fontId="5" fillId="8" borderId="21" xfId="3" applyFont="1" applyFill="1" applyBorder="1" applyAlignment="1">
      <alignment horizontal="center" vertical="center"/>
    </xf>
    <xf numFmtId="0" fontId="23" fillId="10" borderId="27" xfId="3" applyFont="1" applyFill="1" applyBorder="1" applyAlignment="1">
      <alignment horizontal="left"/>
    </xf>
    <xf numFmtId="0" fontId="23" fillId="10" borderId="21" xfId="3" applyFont="1" applyFill="1" applyBorder="1" applyAlignment="1">
      <alignment horizontal="left"/>
    </xf>
    <xf numFmtId="0" fontId="5" fillId="0" borderId="4" xfId="3" applyFont="1" applyBorder="1" applyAlignment="1">
      <alignment horizontal="center" vertical="center"/>
    </xf>
    <xf numFmtId="0" fontId="20" fillId="10" borderId="5" xfId="3" applyFont="1" applyFill="1" applyBorder="1" applyAlignment="1">
      <alignment horizontal="left"/>
    </xf>
    <xf numFmtId="0" fontId="20" fillId="10" borderId="2" xfId="3" applyFont="1" applyFill="1" applyBorder="1" applyAlignment="1">
      <alignment horizontal="left"/>
    </xf>
    <xf numFmtId="0" fontId="11" fillId="0" borderId="1" xfId="3" applyFont="1" applyBorder="1" applyAlignment="1">
      <alignment horizontal="left" vertical="center"/>
    </xf>
    <xf numFmtId="0" fontId="12" fillId="0" borderId="2" xfId="3" applyFont="1" applyBorder="1" applyAlignment="1">
      <alignment horizontal="left" vertical="center"/>
    </xf>
    <xf numFmtId="0" fontId="12" fillId="0" borderId="5" xfId="3" applyFont="1" applyBorder="1" applyAlignment="1">
      <alignment horizontal="left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24" fillId="0" borderId="21" xfId="3" applyFont="1" applyBorder="1" applyAlignment="1">
      <alignment horizontal="left"/>
    </xf>
    <xf numFmtId="0" fontId="11" fillId="7" borderId="5" xfId="3" applyFont="1" applyFill="1" applyBorder="1" applyAlignment="1">
      <alignment horizontal="left" vertical="center"/>
    </xf>
    <xf numFmtId="0" fontId="5" fillId="0" borderId="21" xfId="3" applyFont="1" applyBorder="1" applyAlignment="1">
      <alignment horizontal="left" vertical="center"/>
    </xf>
    <xf numFmtId="0" fontId="23" fillId="10" borderId="2" xfId="3" applyFont="1" applyFill="1" applyBorder="1" applyAlignment="1">
      <alignment horizontal="left"/>
    </xf>
    <xf numFmtId="0" fontId="23" fillId="0" borderId="21" xfId="3" applyFont="1" applyBorder="1" applyAlignment="1">
      <alignment horizontal="left"/>
    </xf>
    <xf numFmtId="0" fontId="47" fillId="9" borderId="5" xfId="3" applyFont="1" applyFill="1" applyBorder="1" applyAlignment="1">
      <alignment horizontal="left" vertical="center"/>
    </xf>
    <xf numFmtId="0" fontId="11" fillId="9" borderId="5" xfId="3" applyFont="1" applyFill="1" applyBorder="1" applyAlignment="1">
      <alignment horizontal="left" vertical="center"/>
    </xf>
    <xf numFmtId="0" fontId="11" fillId="0" borderId="5" xfId="3" applyFont="1" applyBorder="1" applyAlignment="1">
      <alignment horizontal="left" vertical="center"/>
    </xf>
    <xf numFmtId="0" fontId="23" fillId="10" borderId="35" xfId="3" applyFont="1" applyFill="1" applyBorder="1" applyAlignment="1">
      <alignment horizontal="left"/>
    </xf>
    <xf numFmtId="4" fontId="5" fillId="14" borderId="21" xfId="3" applyNumberFormat="1" applyFont="1" applyFill="1" applyBorder="1" applyAlignment="1">
      <alignment horizontal="right" vertical="center"/>
    </xf>
    <xf numFmtId="0" fontId="24" fillId="10" borderId="21" xfId="3" applyFont="1" applyFill="1" applyBorder="1" applyAlignment="1">
      <alignment horizontal="left"/>
    </xf>
    <xf numFmtId="4" fontId="2" fillId="0" borderId="0" xfId="3" applyNumberFormat="1" applyAlignment="1">
      <alignment horizontal="left"/>
    </xf>
    <xf numFmtId="0" fontId="23" fillId="10" borderId="6" xfId="3" applyFont="1" applyFill="1" applyBorder="1" applyAlignment="1">
      <alignment horizontal="left"/>
    </xf>
    <xf numFmtId="0" fontId="5" fillId="0" borderId="26" xfId="3" applyFont="1" applyBorder="1" applyAlignment="1">
      <alignment horizontal="center" vertical="center"/>
    </xf>
    <xf numFmtId="0" fontId="12" fillId="9" borderId="2" xfId="3" applyFont="1" applyFill="1" applyBorder="1" applyAlignment="1">
      <alignment horizontal="left" vertical="center"/>
    </xf>
    <xf numFmtId="0" fontId="12" fillId="9" borderId="5" xfId="3" applyFont="1" applyFill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11" fillId="9" borderId="1" xfId="3" applyFont="1" applyFill="1" applyBorder="1" applyAlignment="1">
      <alignment horizontal="left" vertical="center"/>
    </xf>
    <xf numFmtId="0" fontId="11" fillId="9" borderId="20" xfId="3" applyFont="1" applyFill="1" applyBorder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24" fillId="10" borderId="34" xfId="3" applyFont="1" applyFill="1" applyBorder="1" applyAlignment="1">
      <alignment horizontal="left"/>
    </xf>
    <xf numFmtId="0" fontId="11" fillId="0" borderId="21" xfId="3" applyFont="1" applyBorder="1" applyAlignment="1">
      <alignment horizontal="left" vertical="center"/>
    </xf>
    <xf numFmtId="0" fontId="17" fillId="0" borderId="0" xfId="4" applyFont="1" applyAlignment="1">
      <alignment horizontal="center" vertical="center"/>
    </xf>
    <xf numFmtId="0" fontId="47" fillId="9" borderId="1" xfId="3" applyFont="1" applyFill="1" applyBorder="1" applyAlignment="1">
      <alignment horizontal="left" vertical="center"/>
    </xf>
    <xf numFmtId="0" fontId="47" fillId="8" borderId="40" xfId="3" applyFont="1" applyFill="1" applyBorder="1" applyAlignment="1">
      <alignment horizontal="left" vertical="center"/>
    </xf>
    <xf numFmtId="0" fontId="11" fillId="8" borderId="41" xfId="3" applyFont="1" applyFill="1" applyBorder="1" applyAlignment="1">
      <alignment horizontal="left" vertical="center"/>
    </xf>
    <xf numFmtId="0" fontId="11" fillId="0" borderId="34" xfId="3" applyFont="1" applyBorder="1" applyAlignment="1">
      <alignment horizontal="left" vertical="center"/>
    </xf>
    <xf numFmtId="0" fontId="11" fillId="0" borderId="41" xfId="3" applyFont="1" applyBorder="1" applyAlignment="1">
      <alignment horizontal="left" vertical="center"/>
    </xf>
    <xf numFmtId="0" fontId="11" fillId="8" borderId="2" xfId="3" applyFont="1" applyFill="1" applyBorder="1" applyAlignment="1">
      <alignment horizontal="left" vertical="center" wrapText="1"/>
    </xf>
    <xf numFmtId="0" fontId="11" fillId="8" borderId="5" xfId="3" applyFont="1" applyFill="1" applyBorder="1" applyAlignment="1">
      <alignment horizontal="left" vertical="center" wrapText="1"/>
    </xf>
    <xf numFmtId="49" fontId="13" fillId="0" borderId="42" xfId="3" applyNumberFormat="1" applyFont="1" applyBorder="1" applyAlignment="1">
      <alignment horizontal="center"/>
    </xf>
    <xf numFmtId="49" fontId="13" fillId="0" borderId="44" xfId="3" applyNumberFormat="1" applyFont="1" applyBorder="1" applyAlignment="1">
      <alignment horizontal="center"/>
    </xf>
    <xf numFmtId="49" fontId="15" fillId="0" borderId="35" xfId="3" applyNumberFormat="1" applyFont="1" applyBorder="1" applyAlignment="1">
      <alignment horizontal="center"/>
    </xf>
    <xf numFmtId="49" fontId="15" fillId="0" borderId="27" xfId="3" applyNumberFormat="1" applyFont="1" applyBorder="1" applyAlignment="1">
      <alignment horizontal="center"/>
    </xf>
    <xf numFmtId="4" fontId="2" fillId="0" borderId="0" xfId="3" applyNumberFormat="1" applyAlignment="1">
      <alignment horizontal="center" vertical="center" wrapText="1"/>
    </xf>
    <xf numFmtId="43" fontId="2" fillId="0" borderId="0" xfId="3" applyNumberFormat="1" applyAlignment="1">
      <alignment horizontal="center" vertical="center" wrapText="1"/>
    </xf>
    <xf numFmtId="0" fontId="24" fillId="10" borderId="1" xfId="3" applyFont="1" applyFill="1" applyBorder="1" applyAlignment="1">
      <alignment horizontal="left"/>
    </xf>
    <xf numFmtId="0" fontId="24" fillId="10" borderId="5" xfId="3" applyFont="1" applyFill="1" applyBorder="1" applyAlignment="1">
      <alignment horizontal="left"/>
    </xf>
    <xf numFmtId="0" fontId="23" fillId="10" borderId="5" xfId="3" applyFont="1" applyFill="1" applyBorder="1" applyAlignment="1">
      <alignment horizontal="left"/>
    </xf>
    <xf numFmtId="49" fontId="13" fillId="0" borderId="13" xfId="3" applyNumberFormat="1" applyFont="1" applyBorder="1" applyAlignment="1">
      <alignment horizontal="center"/>
    </xf>
    <xf numFmtId="49" fontId="13" fillId="0" borderId="12" xfId="3" applyNumberFormat="1" applyFont="1" applyBorder="1" applyAlignment="1">
      <alignment horizontal="center"/>
    </xf>
    <xf numFmtId="0" fontId="11" fillId="2" borderId="5" xfId="3" applyFont="1" applyFill="1" applyBorder="1" applyAlignment="1">
      <alignment horizontal="left" vertical="center"/>
    </xf>
    <xf numFmtId="0" fontId="11" fillId="2" borderId="1" xfId="3" applyFont="1" applyFill="1" applyBorder="1" applyAlignment="1">
      <alignment horizontal="left" vertical="center"/>
    </xf>
    <xf numFmtId="0" fontId="47" fillId="0" borderId="2" xfId="3" applyFont="1" applyBorder="1" applyAlignment="1">
      <alignment horizontal="left" vertical="center"/>
    </xf>
    <xf numFmtId="0" fontId="11" fillId="0" borderId="35" xfId="3" applyFont="1" applyBorder="1" applyAlignment="1">
      <alignment horizontal="left" vertical="center"/>
    </xf>
    <xf numFmtId="0" fontId="23" fillId="10" borderId="34" xfId="3" applyFont="1" applyFill="1" applyBorder="1" applyAlignment="1">
      <alignment horizontal="left"/>
    </xf>
    <xf numFmtId="0" fontId="11" fillId="8" borderId="5" xfId="3" applyFont="1" applyFill="1" applyBorder="1" applyAlignment="1">
      <alignment horizontal="left" vertical="center"/>
    </xf>
    <xf numFmtId="0" fontId="11" fillId="8" borderId="1" xfId="3" applyFont="1" applyFill="1" applyBorder="1" applyAlignment="1">
      <alignment horizontal="left" vertical="center"/>
    </xf>
    <xf numFmtId="0" fontId="44" fillId="0" borderId="7" xfId="3" applyFont="1" applyBorder="1" applyAlignment="1">
      <alignment horizontal="center" vertical="center"/>
    </xf>
    <xf numFmtId="0" fontId="50" fillId="0" borderId="35" xfId="3" applyFont="1" applyBorder="1" applyAlignment="1">
      <alignment horizontal="left" vertical="center"/>
    </xf>
    <xf numFmtId="49" fontId="15" fillId="0" borderId="13" xfId="3" applyNumberFormat="1" applyFont="1" applyBorder="1" applyAlignment="1">
      <alignment horizontal="center" vertical="center"/>
    </xf>
    <xf numFmtId="49" fontId="15" fillId="0" borderId="12" xfId="3" applyNumberFormat="1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80" fillId="0" borderId="21" xfId="4" applyFont="1" applyBorder="1" applyAlignment="1">
      <alignment horizontal="center" vertical="center"/>
    </xf>
    <xf numFmtId="0" fontId="72" fillId="14" borderId="0" xfId="4" applyFont="1" applyFill="1" applyAlignment="1">
      <alignment vertical="center"/>
    </xf>
    <xf numFmtId="4" fontId="43" fillId="0" borderId="21" xfId="4" applyNumberFormat="1" applyFont="1" applyBorder="1" applyAlignment="1">
      <alignment horizontal="center" vertical="center"/>
    </xf>
    <xf numFmtId="4" fontId="43" fillId="0" borderId="34" xfId="4" applyNumberFormat="1" applyFont="1" applyBorder="1" applyAlignment="1">
      <alignment horizontal="center" vertical="center"/>
    </xf>
    <xf numFmtId="0" fontId="9" fillId="14" borderId="21" xfId="4" applyFont="1" applyFill="1" applyBorder="1" applyAlignment="1">
      <alignment horizontal="center" vertical="center"/>
    </xf>
    <xf numFmtId="0" fontId="79" fillId="0" borderId="21" xfId="4" applyFont="1" applyBorder="1" applyAlignment="1">
      <alignment horizontal="center" vertical="center"/>
    </xf>
    <xf numFmtId="0" fontId="5" fillId="18" borderId="33" xfId="4" applyFont="1" applyFill="1" applyBorder="1" applyAlignment="1">
      <alignment horizontal="center" vertical="center"/>
    </xf>
    <xf numFmtId="0" fontId="5" fillId="18" borderId="36" xfId="4" applyFont="1" applyFill="1" applyBorder="1" applyAlignment="1">
      <alignment horizontal="center" vertical="center"/>
    </xf>
    <xf numFmtId="0" fontId="5" fillId="18" borderId="46" xfId="4" applyFont="1" applyFill="1" applyBorder="1" applyAlignment="1">
      <alignment horizontal="center" vertical="center"/>
    </xf>
    <xf numFmtId="0" fontId="5" fillId="18" borderId="37" xfId="4" applyFont="1" applyFill="1" applyBorder="1" applyAlignment="1">
      <alignment horizontal="center" vertical="center"/>
    </xf>
    <xf numFmtId="0" fontId="5" fillId="18" borderId="11" xfId="4" applyFont="1" applyFill="1" applyBorder="1" applyAlignment="1">
      <alignment horizontal="center" vertical="center"/>
    </xf>
    <xf numFmtId="0" fontId="5" fillId="18" borderId="13" xfId="4" applyFont="1" applyFill="1" applyBorder="1" applyAlignment="1">
      <alignment horizontal="center" vertical="center"/>
    </xf>
    <xf numFmtId="4" fontId="5" fillId="0" borderId="5" xfId="4" applyNumberFormat="1" applyFont="1" applyBorder="1" applyAlignment="1">
      <alignment horizontal="center" vertical="center"/>
    </xf>
    <xf numFmtId="0" fontId="5" fillId="18" borderId="28" xfId="4" applyFont="1" applyFill="1" applyBorder="1" applyAlignment="1">
      <alignment horizontal="center" vertical="center"/>
    </xf>
    <xf numFmtId="0" fontId="5" fillId="18" borderId="47" xfId="4" applyFont="1" applyFill="1" applyBorder="1" applyAlignment="1">
      <alignment horizontal="center" vertical="center"/>
    </xf>
    <xf numFmtId="4" fontId="43" fillId="0" borderId="5" xfId="4" applyNumberFormat="1" applyFont="1" applyBorder="1" applyAlignment="1">
      <alignment horizontal="center" vertical="center"/>
    </xf>
    <xf numFmtId="4" fontId="5" fillId="0" borderId="21" xfId="4" applyNumberFormat="1" applyFont="1" applyBorder="1" applyAlignment="1">
      <alignment horizontal="center" vertical="center"/>
    </xf>
    <xf numFmtId="4" fontId="43" fillId="0" borderId="12" xfId="4" applyNumberFormat="1" applyFont="1" applyBorder="1" applyAlignment="1">
      <alignment horizontal="center" vertical="center"/>
    </xf>
    <xf numFmtId="43" fontId="40" fillId="0" borderId="27" xfId="3" applyNumberFormat="1" applyFont="1" applyBorder="1" applyAlignment="1">
      <alignment horizontal="center" vertical="center"/>
    </xf>
    <xf numFmtId="0" fontId="40" fillId="0" borderId="21" xfId="3" applyFont="1" applyBorder="1" applyAlignment="1">
      <alignment horizontal="center" vertical="center"/>
    </xf>
    <xf numFmtId="0" fontId="40" fillId="0" borderId="31" xfId="3" applyFont="1" applyBorder="1" applyAlignment="1">
      <alignment horizontal="center" vertical="center"/>
    </xf>
    <xf numFmtId="43" fontId="40" fillId="0" borderId="21" xfId="3" applyNumberFormat="1" applyFont="1" applyBorder="1" applyAlignment="1">
      <alignment horizontal="center" vertical="center"/>
    </xf>
    <xf numFmtId="49" fontId="15" fillId="0" borderId="37" xfId="3" applyNumberFormat="1" applyFont="1" applyBorder="1" applyAlignment="1">
      <alignment horizontal="center"/>
    </xf>
    <xf numFmtId="0" fontId="35" fillId="0" borderId="0" xfId="2" applyFont="1" applyAlignment="1">
      <alignment horizontal="center"/>
    </xf>
    <xf numFmtId="0" fontId="35" fillId="0" borderId="0" xfId="2" applyFont="1" applyAlignment="1">
      <alignment horizontal="center" vertical="center"/>
    </xf>
    <xf numFmtId="0" fontId="54" fillId="0" borderId="3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" vertical="center"/>
    </xf>
    <xf numFmtId="0" fontId="57" fillId="0" borderId="31" xfId="0" applyFont="1" applyBorder="1" applyAlignment="1">
      <alignment horizontal="center" vertical="center"/>
    </xf>
    <xf numFmtId="0" fontId="57" fillId="0" borderId="32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49" fontId="60" fillId="0" borderId="34" xfId="0" applyNumberFormat="1" applyFont="1" applyBorder="1" applyAlignment="1">
      <alignment horizontal="center" vertical="center"/>
    </xf>
    <xf numFmtId="49" fontId="60" fillId="0" borderId="27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3" fillId="0" borderId="30" xfId="0" applyFont="1" applyBorder="1" applyAlignment="1">
      <alignment horizontal="center" vertical="center"/>
    </xf>
    <xf numFmtId="49" fontId="60" fillId="13" borderId="34" xfId="0" applyNumberFormat="1" applyFont="1" applyFill="1" applyBorder="1" applyAlignment="1">
      <alignment horizontal="center" vertical="center"/>
    </xf>
    <xf numFmtId="49" fontId="60" fillId="13" borderId="27" xfId="0" applyNumberFormat="1" applyFont="1" applyFill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49" fontId="61" fillId="0" borderId="34" xfId="0" applyNumberFormat="1" applyFont="1" applyBorder="1" applyAlignment="1">
      <alignment horizontal="center" vertical="center"/>
    </xf>
    <xf numFmtId="49" fontId="61" fillId="0" borderId="35" xfId="0" applyNumberFormat="1" applyFont="1" applyBorder="1" applyAlignment="1">
      <alignment horizontal="center" vertical="center"/>
    </xf>
    <xf numFmtId="49" fontId="61" fillId="0" borderId="27" xfId="0" applyNumberFormat="1" applyFont="1" applyBorder="1" applyAlignment="1">
      <alignment horizontal="center" vertical="center"/>
    </xf>
    <xf numFmtId="49" fontId="60" fillId="0" borderId="35" xfId="0" applyNumberFormat="1" applyFont="1" applyBorder="1" applyAlignment="1">
      <alignment horizontal="center" vertical="center"/>
    </xf>
    <xf numFmtId="49" fontId="60" fillId="13" borderId="35" xfId="0" applyNumberFormat="1" applyFont="1" applyFill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53" fillId="13" borderId="31" xfId="0" applyFont="1" applyFill="1" applyBorder="1" applyAlignment="1">
      <alignment horizontal="center" vertical="center"/>
    </xf>
    <xf numFmtId="0" fontId="53" fillId="13" borderId="30" xfId="0" applyFont="1" applyFill="1" applyBorder="1" applyAlignment="1">
      <alignment horizontal="center" vertical="center"/>
    </xf>
    <xf numFmtId="0" fontId="53" fillId="13" borderId="38" xfId="0" applyFont="1" applyFill="1" applyBorder="1" applyAlignment="1">
      <alignment horizontal="center" vertical="center"/>
    </xf>
    <xf numFmtId="49" fontId="60" fillId="0" borderId="21" xfId="0" applyNumberFormat="1" applyFont="1" applyBorder="1" applyAlignment="1">
      <alignment horizontal="center" vertical="center"/>
    </xf>
    <xf numFmtId="49" fontId="60" fillId="0" borderId="36" xfId="0" applyNumberFormat="1" applyFont="1" applyBorder="1" applyAlignment="1">
      <alignment horizontal="center" vertical="center"/>
    </xf>
    <xf numFmtId="49" fontId="60" fillId="0" borderId="38" xfId="0" applyNumberFormat="1" applyFont="1" applyBorder="1" applyAlignment="1">
      <alignment horizontal="center" vertical="center"/>
    </xf>
    <xf numFmtId="0" fontId="53" fillId="0" borderId="31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0" borderId="0" xfId="0" applyFont="1" applyAlignment="1">
      <alignment horizontal="center"/>
    </xf>
    <xf numFmtId="0" fontId="53" fillId="13" borderId="32" xfId="0" applyFont="1" applyFill="1" applyBorder="1" applyAlignment="1">
      <alignment horizontal="center" vertical="center"/>
    </xf>
    <xf numFmtId="0" fontId="53" fillId="13" borderId="24" xfId="0" applyFont="1" applyFill="1" applyBorder="1" applyAlignment="1">
      <alignment horizontal="center" vertical="center"/>
    </xf>
    <xf numFmtId="0" fontId="53" fillId="15" borderId="0" xfId="0" applyFont="1" applyFill="1" applyAlignment="1">
      <alignment horizontal="center" vertical="center"/>
    </xf>
    <xf numFmtId="0" fontId="53" fillId="16" borderId="0" xfId="0" applyFont="1" applyFill="1" applyAlignment="1">
      <alignment horizontal="center" vertical="center"/>
    </xf>
    <xf numFmtId="4" fontId="53" fillId="0" borderId="0" xfId="0" applyNumberFormat="1" applyFont="1" applyAlignment="1">
      <alignment horizontal="center"/>
    </xf>
  </cellXfs>
  <cellStyles count="8">
    <cellStyle name="Normal" xfId="0" builtinId="0"/>
    <cellStyle name="Normal 2" xfId="2" xr:uid="{00000000-0005-0000-0000-000001000000}"/>
    <cellStyle name="Normal_PROPOSTA2016elementaçãoLMENDAGOSTOalterxxx" xfId="3" xr:uid="{00000000-0005-0000-0000-000002000000}"/>
    <cellStyle name="Normal_PROPOSTA2016elementaçãoLMENDAGOSTOalterxxxFFF" xfId="4" xr:uid="{00000000-0005-0000-0000-000003000000}"/>
    <cellStyle name="Porcentagem" xfId="1" builtinId="5"/>
    <cellStyle name="Porcentagem 2" xfId="5" xr:uid="{00000000-0005-0000-0000-000005000000}"/>
    <cellStyle name="TableStyleLight1" xfId="6" xr:uid="{00000000-0005-0000-0000-000006000000}"/>
    <cellStyle name="Título 5" xfId="7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69A2E"/>
      <rgbColor rgb="FF000080"/>
      <rgbColor rgb="FF808000"/>
      <rgbColor rgb="FF800080"/>
      <rgbColor rgb="FF2E75B6"/>
      <rgbColor rgb="FFC0C0C0"/>
      <rgbColor rgb="FF808080"/>
      <rgbColor rgb="FF8FAADC"/>
      <rgbColor rgb="FF993366"/>
      <rgbColor rgb="FFE7E6E6"/>
      <rgbColor rgb="FFCCFFFF"/>
      <rgbColor rgb="FF660066"/>
      <rgbColor rgb="FFFF7B59"/>
      <rgbColor rgb="FF0070C0"/>
      <rgbColor rgb="FFB4C7DC"/>
      <rgbColor rgb="FF000080"/>
      <rgbColor rgb="FFFF00FF"/>
      <rgbColor rgb="FFFFD966"/>
      <rgbColor rgb="FF00FFFF"/>
      <rgbColor rgb="FF800080"/>
      <rgbColor rgb="FF800000"/>
      <rgbColor rgb="FF008080"/>
      <rgbColor rgb="FF0000FF"/>
      <rgbColor rgb="FF00CCFF"/>
      <rgbColor rgb="FFCCFFFF"/>
      <rgbColor rgb="FFFFE699"/>
      <rgbColor rgb="FFFFFFA6"/>
      <rgbColor rgb="FFA9D18E"/>
      <rgbColor rgb="FFE0C2CD"/>
      <rgbColor rgb="FFCC99FF"/>
      <rgbColor rgb="FFFFCC99"/>
      <rgbColor rgb="FF4472C4"/>
      <rgbColor rgb="FF33CCCC"/>
      <rgbColor rgb="FF99CC00"/>
      <rgbColor rgb="FFFFC000"/>
      <rgbColor rgb="FFFF9900"/>
      <rgbColor rgb="FFFF4000"/>
      <rgbColor rgb="FF5983B0"/>
      <rgbColor rgb="FFA6A6A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3190875</xdr:colOff>
      <xdr:row>0</xdr:row>
      <xdr:rowOff>95250</xdr:rowOff>
    </xdr:from>
    <xdr:to>
      <xdr:col>1</xdr:col>
      <xdr:colOff>4076700</xdr:colOff>
      <xdr:row>4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00425" y="95250"/>
          <a:ext cx="885825" cy="800100"/>
        </a:xfrm>
        <a:prstGeom prst="rect">
          <a:avLst/>
        </a:prstGeom>
        <a:ln w="0">
          <a:noFill/>
        </a:ln>
        <a:effectLst>
          <a:outerShdw blurRad="50760" dist="50760" dir="5400000" algn="ctr" rotWithShape="0">
            <a:schemeClr val="bg1"/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3838950</xdr:colOff>
      <xdr:row>1</xdr:row>
      <xdr:rowOff>19050</xdr:rowOff>
    </xdr:from>
    <xdr:to>
      <xdr:col>1</xdr:col>
      <xdr:colOff>4718070</xdr:colOff>
      <xdr:row>3</xdr:row>
      <xdr:rowOff>339375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34225" y="180975"/>
          <a:ext cx="879120" cy="672750"/>
        </a:xfrm>
        <a:prstGeom prst="rect">
          <a:avLst/>
        </a:prstGeom>
        <a:ln w="0">
          <a:noFill/>
        </a:ln>
        <a:effectLst>
          <a:outerShdw blurRad="50760" dist="50760" dir="5400000" algn="ctr" rotWithShape="0">
            <a:schemeClr val="bg1"/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5114925</xdr:colOff>
      <xdr:row>0</xdr:row>
      <xdr:rowOff>152400</xdr:rowOff>
    </xdr:from>
    <xdr:to>
      <xdr:col>0</xdr:col>
      <xdr:colOff>6019800</xdr:colOff>
      <xdr:row>4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87A5FC-54C1-3028-D03C-4B4FB8D07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152400"/>
          <a:ext cx="904875" cy="876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885825</xdr:colOff>
      <xdr:row>0</xdr:row>
      <xdr:rowOff>76200</xdr:rowOff>
    </xdr:from>
    <xdr:to>
      <xdr:col>6</xdr:col>
      <xdr:colOff>1952625</xdr:colOff>
      <xdr:row>4</xdr:row>
      <xdr:rowOff>104775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A679D9-4597-4EBB-ADF0-F4E0E98CF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4200" y="76200"/>
          <a:ext cx="1066800" cy="102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161925</xdr:rowOff>
    </xdr:from>
    <xdr:to>
      <xdr:col>3</xdr:col>
      <xdr:colOff>1362075</xdr:colOff>
      <xdr:row>4</xdr:row>
      <xdr:rowOff>171450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61EF3F-A8DE-4856-81E2-0E0E0FE4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3875" y="161925"/>
          <a:ext cx="990600" cy="952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4086225</xdr:colOff>
      <xdr:row>0</xdr:row>
      <xdr:rowOff>38100</xdr:rowOff>
    </xdr:from>
    <xdr:to>
      <xdr:col>2</xdr:col>
      <xdr:colOff>5076825</xdr:colOff>
      <xdr:row>4</xdr:row>
      <xdr:rowOff>180975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D28BDD-0F43-4728-BD12-E076D0AF9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0225" y="38100"/>
          <a:ext cx="9906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3"/>
  <sheetViews>
    <sheetView topLeftCell="A11" workbookViewId="0">
      <selection activeCell="D35" sqref="D35:D36"/>
    </sheetView>
  </sheetViews>
  <sheetFormatPr defaultRowHeight="15"/>
  <cols>
    <col min="1" max="1" width="67" style="300" customWidth="1"/>
    <col min="2" max="2" width="18.42578125" style="300" customWidth="1"/>
    <col min="3" max="3" width="16.5703125" style="300" customWidth="1"/>
    <col min="4" max="4" width="18.28515625" style="300" customWidth="1"/>
    <col min="5" max="5" width="13.140625" style="300" customWidth="1"/>
    <col min="6" max="16384" width="9.140625" style="300"/>
  </cols>
  <sheetData>
    <row r="2" spans="1:5" ht="15.75">
      <c r="A2" s="644" t="s">
        <v>0</v>
      </c>
      <c r="B2" s="644"/>
      <c r="C2" s="644"/>
      <c r="D2" s="644"/>
    </row>
    <row r="4" spans="1:5" ht="15.75" customHeight="1">
      <c r="A4" s="348" t="s">
        <v>1</v>
      </c>
      <c r="B4" s="348" t="s">
        <v>2</v>
      </c>
      <c r="C4" s="348" t="s">
        <v>3</v>
      </c>
      <c r="D4" s="348" t="s">
        <v>4</v>
      </c>
      <c r="E4" s="301"/>
    </row>
    <row r="5" spans="1:5" ht="15.75" customHeight="1">
      <c r="A5" s="649" t="s">
        <v>5</v>
      </c>
      <c r="B5" s="349" t="s">
        <v>6</v>
      </c>
      <c r="C5" s="646">
        <v>1760</v>
      </c>
      <c r="D5" s="350">
        <f>'Elementação FERD 2027'!F48</f>
        <v>800000</v>
      </c>
    </row>
    <row r="6" spans="1:5" ht="15.75" customHeight="1">
      <c r="A6" s="649"/>
      <c r="B6" s="351" t="s">
        <v>7</v>
      </c>
      <c r="C6" s="647"/>
      <c r="D6" s="350">
        <f>'Elementação FERD 2027'!F82</f>
        <v>115000</v>
      </c>
    </row>
    <row r="7" spans="1:5" ht="15.75" customHeight="1">
      <c r="A7" s="649"/>
      <c r="B7" s="352" t="s">
        <v>8</v>
      </c>
      <c r="C7" s="648"/>
      <c r="D7" s="350">
        <f>'Elementação FERD 2027'!F207</f>
        <v>185000</v>
      </c>
    </row>
    <row r="8" spans="1:5" ht="15.75" customHeight="1">
      <c r="A8" s="636" t="s">
        <v>9</v>
      </c>
      <c r="B8" s="637"/>
      <c r="C8" s="637"/>
      <c r="D8" s="372">
        <f>D5+D6+D7</f>
        <v>1100000</v>
      </c>
    </row>
    <row r="9" spans="1:5" ht="9.75" customHeight="1">
      <c r="A9" s="633"/>
      <c r="B9" s="634"/>
      <c r="C9" s="634"/>
      <c r="D9" s="635"/>
    </row>
    <row r="10" spans="1:5" ht="15.75" customHeight="1">
      <c r="A10" s="354" t="s">
        <v>10</v>
      </c>
      <c r="B10" s="352" t="s">
        <v>6</v>
      </c>
      <c r="C10" s="353">
        <v>1760</v>
      </c>
      <c r="D10" s="355">
        <f>'Elementação FERD 2027'!F13</f>
        <v>2592960</v>
      </c>
    </row>
    <row r="11" spans="1:5" ht="9.75" customHeight="1">
      <c r="A11" s="633"/>
      <c r="B11" s="634"/>
      <c r="C11" s="634"/>
      <c r="D11" s="635"/>
    </row>
    <row r="12" spans="1:5" ht="15.75" customHeight="1">
      <c r="A12" s="638" t="s">
        <v>11</v>
      </c>
      <c r="B12" s="352" t="s">
        <v>6</v>
      </c>
      <c r="C12" s="639">
        <v>1760</v>
      </c>
      <c r="D12" s="355">
        <f>'Elementação FERD 2027'!F16</f>
        <v>5840080</v>
      </c>
    </row>
    <row r="13" spans="1:5" ht="15.75" customHeight="1">
      <c r="A13" s="638"/>
      <c r="B13" s="645" t="s">
        <v>8</v>
      </c>
      <c r="C13" s="639"/>
      <c r="D13" s="355">
        <f>'Elementação FERD 2027'!F174</f>
        <v>8959920</v>
      </c>
    </row>
    <row r="14" spans="1:5" ht="15.75" customHeight="1">
      <c r="A14" s="354" t="s">
        <v>12</v>
      </c>
      <c r="B14" s="645"/>
      <c r="C14" s="639"/>
      <c r="D14" s="355">
        <f>'Elementação FERD 2027'!F175</f>
        <v>2505309</v>
      </c>
    </row>
    <row r="15" spans="1:5" ht="15.75" customHeight="1">
      <c r="A15" s="354" t="s">
        <v>13</v>
      </c>
      <c r="B15" s="650" t="s">
        <v>6</v>
      </c>
      <c r="C15" s="639"/>
      <c r="D15" s="355">
        <f>'Elementação FERD 2027'!F17</f>
        <v>0</v>
      </c>
    </row>
    <row r="16" spans="1:5" ht="15.75" customHeight="1">
      <c r="A16" s="354" t="s">
        <v>14</v>
      </c>
      <c r="B16" s="650"/>
      <c r="C16" s="639"/>
      <c r="D16" s="355">
        <f>'Elementação FERD 2027'!F18</f>
        <v>470508.99999999994</v>
      </c>
    </row>
    <row r="17" spans="1:5" ht="9.75" customHeight="1">
      <c r="A17" s="633"/>
      <c r="B17" s="634"/>
      <c r="C17" s="634"/>
      <c r="D17" s="635"/>
    </row>
    <row r="18" spans="1:5" ht="15.75" customHeight="1">
      <c r="A18" s="638" t="s">
        <v>15</v>
      </c>
      <c r="B18" s="352" t="s">
        <v>6</v>
      </c>
      <c r="C18" s="639">
        <v>1760</v>
      </c>
      <c r="D18" s="355">
        <f>'Elementação FERD 2027'!F50</f>
        <v>16698492</v>
      </c>
    </row>
    <row r="19" spans="1:5" ht="15.75" customHeight="1">
      <c r="A19" s="638"/>
      <c r="B19" s="351" t="s">
        <v>7</v>
      </c>
      <c r="C19" s="639"/>
      <c r="D19" s="355">
        <f>'Elementação FERD 2027'!F83</f>
        <v>2587956</v>
      </c>
    </row>
    <row r="20" spans="1:5" ht="15.75" customHeight="1">
      <c r="A20" s="638"/>
      <c r="B20" s="352" t="s">
        <v>8</v>
      </c>
      <c r="C20" s="639"/>
      <c r="D20" s="355">
        <f>'Elementação FERD 2027'!F208</f>
        <v>5360772</v>
      </c>
    </row>
    <row r="21" spans="1:5" ht="15.75" customHeight="1">
      <c r="A21" s="636" t="s">
        <v>9</v>
      </c>
      <c r="B21" s="637"/>
      <c r="C21" s="637"/>
      <c r="D21" s="373">
        <f>D18+D19+D20</f>
        <v>24647220</v>
      </c>
    </row>
    <row r="22" spans="1:5" ht="9.75" customHeight="1">
      <c r="A22" s="633"/>
      <c r="B22" s="634"/>
      <c r="C22" s="634"/>
      <c r="D22" s="635"/>
    </row>
    <row r="23" spans="1:5" ht="15.75" customHeight="1">
      <c r="A23" s="354" t="s">
        <v>16</v>
      </c>
      <c r="B23" s="352" t="s">
        <v>8</v>
      </c>
      <c r="C23" s="353">
        <v>1760</v>
      </c>
      <c r="D23" s="355">
        <f>'Elementação FERD 2027'!F190</f>
        <v>2127497.0019999994</v>
      </c>
    </row>
    <row r="24" spans="1:5" ht="9.75" customHeight="1">
      <c r="A24" s="633"/>
      <c r="B24" s="634"/>
      <c r="C24" s="634"/>
      <c r="D24" s="635"/>
    </row>
    <row r="25" spans="1:5" ht="15.75" customHeight="1">
      <c r="A25" s="640" t="s">
        <v>17</v>
      </c>
      <c r="B25" s="349" t="s">
        <v>6</v>
      </c>
      <c r="C25" s="641">
        <v>1760</v>
      </c>
      <c r="D25" s="355">
        <f>'Elementação FERD 2027'!F54</f>
        <v>800000</v>
      </c>
    </row>
    <row r="26" spans="1:5" ht="15.75" customHeight="1">
      <c r="A26" s="640"/>
      <c r="B26" s="351" t="s">
        <v>7</v>
      </c>
      <c r="C26" s="642"/>
      <c r="D26" s="355">
        <f>'Elementação FERD 2027'!F86</f>
        <v>100000</v>
      </c>
    </row>
    <row r="27" spans="1:5" ht="15.75" customHeight="1">
      <c r="A27" s="640"/>
      <c r="B27" s="352" t="s">
        <v>8</v>
      </c>
      <c r="C27" s="643"/>
      <c r="D27" s="355">
        <f>'Elementação FERD 2027'!F213</f>
        <v>300000</v>
      </c>
    </row>
    <row r="28" spans="1:5" ht="15.75" customHeight="1">
      <c r="A28" s="636" t="s">
        <v>9</v>
      </c>
      <c r="B28" s="637"/>
      <c r="C28" s="637"/>
      <c r="D28" s="374">
        <f>D25+D26+D27</f>
        <v>1200000</v>
      </c>
    </row>
    <row r="29" spans="1:5" ht="9.75" customHeight="1">
      <c r="A29" s="357"/>
      <c r="B29" s="352"/>
      <c r="C29" s="356"/>
      <c r="D29" s="355"/>
    </row>
    <row r="30" spans="1:5" ht="15.75" customHeight="1">
      <c r="A30" s="354" t="s">
        <v>18</v>
      </c>
      <c r="B30" s="358" t="s">
        <v>8</v>
      </c>
      <c r="C30" s="353">
        <v>1759</v>
      </c>
      <c r="D30" s="355">
        <f>'Elementação FERD 2027'!F212</f>
        <v>29260674</v>
      </c>
    </row>
    <row r="31" spans="1:5">
      <c r="B31" s="346"/>
      <c r="C31" s="347"/>
      <c r="D31" s="302"/>
    </row>
    <row r="32" spans="1:5" ht="15.75">
      <c r="A32" s="631" t="s">
        <v>19</v>
      </c>
      <c r="B32" s="631"/>
      <c r="C32" s="631"/>
      <c r="D32" s="631"/>
      <c r="E32" s="631"/>
    </row>
    <row r="33" spans="1:5" ht="15.75">
      <c r="A33" s="348" t="s">
        <v>20</v>
      </c>
      <c r="B33" s="476" t="s">
        <v>21</v>
      </c>
      <c r="C33" s="348" t="s">
        <v>22</v>
      </c>
      <c r="D33" s="477" t="s">
        <v>23</v>
      </c>
      <c r="E33" s="348" t="s">
        <v>24</v>
      </c>
    </row>
    <row r="34" spans="1:5">
      <c r="A34" s="478" t="s">
        <v>25</v>
      </c>
      <c r="B34" s="358" t="s">
        <v>26</v>
      </c>
      <c r="C34" s="479">
        <v>280000</v>
      </c>
      <c r="D34" s="358" t="s">
        <v>27</v>
      </c>
      <c r="E34" s="632" t="s">
        <v>28</v>
      </c>
    </row>
    <row r="35" spans="1:5">
      <c r="A35" s="478" t="s">
        <v>29</v>
      </c>
      <c r="B35" s="358" t="s">
        <v>30</v>
      </c>
      <c r="C35" s="479">
        <v>1800000</v>
      </c>
      <c r="D35" s="632" t="s">
        <v>8</v>
      </c>
      <c r="E35" s="632"/>
    </row>
    <row r="36" spans="1:5">
      <c r="A36" s="478" t="s">
        <v>31</v>
      </c>
      <c r="B36" s="358" t="s">
        <v>32</v>
      </c>
      <c r="C36" s="479">
        <v>20000</v>
      </c>
      <c r="D36" s="632"/>
      <c r="E36" s="632"/>
    </row>
    <row r="37" spans="1:5">
      <c r="A37" s="480" t="s">
        <v>33</v>
      </c>
      <c r="B37" s="353" t="s">
        <v>34</v>
      </c>
      <c r="C37" s="479">
        <v>300000</v>
      </c>
      <c r="D37" s="358" t="s">
        <v>6</v>
      </c>
      <c r="E37" s="632"/>
    </row>
    <row r="38" spans="1:5">
      <c r="A38" s="480" t="s">
        <v>35</v>
      </c>
      <c r="B38" s="353" t="s">
        <v>36</v>
      </c>
      <c r="C38" s="479">
        <v>17000000</v>
      </c>
      <c r="D38" s="358" t="s">
        <v>6</v>
      </c>
      <c r="E38" s="358" t="s">
        <v>37</v>
      </c>
    </row>
    <row r="39" spans="1:5">
      <c r="C39" s="473"/>
      <c r="D39" s="346"/>
      <c r="E39" s="346"/>
    </row>
    <row r="40" spans="1:5">
      <c r="C40" s="473"/>
      <c r="D40" s="346"/>
      <c r="E40" s="346"/>
    </row>
    <row r="41" spans="1:5">
      <c r="C41" s="473"/>
      <c r="D41" s="346"/>
      <c r="E41" s="346"/>
    </row>
    <row r="42" spans="1:5">
      <c r="C42" s="473"/>
      <c r="D42" s="346"/>
      <c r="E42" s="346"/>
    </row>
    <row r="43" spans="1:5">
      <c r="C43" s="473"/>
      <c r="D43" s="346"/>
      <c r="E43" s="346"/>
    </row>
  </sheetData>
  <mergeCells count="22">
    <mergeCell ref="A2:D2"/>
    <mergeCell ref="A12:A13"/>
    <mergeCell ref="B13:B14"/>
    <mergeCell ref="A11:D11"/>
    <mergeCell ref="A9:D9"/>
    <mergeCell ref="A8:C8"/>
    <mergeCell ref="C5:C7"/>
    <mergeCell ref="C12:C16"/>
    <mergeCell ref="A5:A7"/>
    <mergeCell ref="B15:B16"/>
    <mergeCell ref="A18:A20"/>
    <mergeCell ref="C18:C20"/>
    <mergeCell ref="A25:A27"/>
    <mergeCell ref="A17:D17"/>
    <mergeCell ref="C25:C27"/>
    <mergeCell ref="A32:E32"/>
    <mergeCell ref="D35:D36"/>
    <mergeCell ref="A22:D22"/>
    <mergeCell ref="A24:D24"/>
    <mergeCell ref="A21:C21"/>
    <mergeCell ref="A28:C28"/>
    <mergeCell ref="E34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34"/>
  <sheetViews>
    <sheetView topLeftCell="A287" zoomScale="120" zoomScaleNormal="120" workbookViewId="0">
      <selection activeCell="I302" sqref="I302"/>
    </sheetView>
  </sheetViews>
  <sheetFormatPr defaultColWidth="9.140625" defaultRowHeight="12.75"/>
  <cols>
    <col min="1" max="1" width="12.7109375" style="6" customWidth="1"/>
    <col min="2" max="2" width="79.28515625" style="6" customWidth="1"/>
    <col min="3" max="3" width="7" style="6" customWidth="1"/>
    <col min="4" max="4" width="13.5703125" style="6" hidden="1" customWidth="1"/>
    <col min="5" max="5" width="15.28515625" style="6" customWidth="1"/>
    <col min="6" max="6" width="15.42578125" style="6" customWidth="1"/>
    <col min="7" max="7" width="17.140625" style="6" customWidth="1"/>
    <col min="8" max="8" width="15.7109375" style="6" customWidth="1"/>
    <col min="9" max="9" width="19.5703125" style="6" customWidth="1"/>
    <col min="10" max="10" width="15.85546875" style="6" customWidth="1"/>
    <col min="11" max="11" width="18.85546875" style="6" customWidth="1"/>
    <col min="12" max="12" width="15.42578125" style="6" customWidth="1"/>
    <col min="13" max="13" width="14.7109375" style="6" customWidth="1"/>
    <col min="14" max="14" width="11.42578125" style="6" bestFit="1" customWidth="1"/>
    <col min="15" max="15" width="11" style="6" customWidth="1"/>
    <col min="16" max="1024" width="9.140625" style="6"/>
  </cols>
  <sheetData>
    <row r="1" spans="1:15">
      <c r="B1" s="172" t="s">
        <v>38</v>
      </c>
      <c r="C1" s="7"/>
      <c r="D1" s="7"/>
      <c r="E1" s="8" t="s">
        <v>39</v>
      </c>
      <c r="F1" s="9">
        <v>46260</v>
      </c>
    </row>
    <row r="2" spans="1:15">
      <c r="B2" s="172" t="s">
        <v>40</v>
      </c>
      <c r="C2" s="7"/>
      <c r="D2" s="7"/>
      <c r="E2" s="10" t="s">
        <v>41</v>
      </c>
      <c r="F2" s="11">
        <v>2027</v>
      </c>
      <c r="G2" s="12"/>
      <c r="H2" s="12"/>
      <c r="K2" s="579">
        <f>L2+L26</f>
        <v>6170775</v>
      </c>
      <c r="L2" s="579">
        <f>F157+F180+F181+F182</f>
        <v>3472514</v>
      </c>
      <c r="M2" s="578" t="s">
        <v>42</v>
      </c>
      <c r="N2" s="578"/>
    </row>
    <row r="3" spans="1:15">
      <c r="B3" s="172" t="s">
        <v>43</v>
      </c>
      <c r="C3" s="7"/>
      <c r="D3" s="7"/>
      <c r="E3" s="10" t="s">
        <v>44</v>
      </c>
      <c r="F3" s="384">
        <v>1.0532999999999999</v>
      </c>
      <c r="G3" s="13"/>
      <c r="H3" s="12"/>
      <c r="I3" s="12"/>
      <c r="L3" s="579">
        <f>J16+J69+J167-L6-L8</f>
        <v>21332803.230000004</v>
      </c>
      <c r="M3" s="578"/>
      <c r="N3" s="578" t="s">
        <v>45</v>
      </c>
    </row>
    <row r="4" spans="1:15" ht="13.5" customHeight="1">
      <c r="B4" s="173" t="s">
        <v>46</v>
      </c>
      <c r="C4" s="15"/>
      <c r="D4" s="15"/>
      <c r="G4" s="12"/>
      <c r="H4" s="17"/>
      <c r="L4" s="579">
        <f>J17+J70+J168-L13-L14+F196+F123</f>
        <v>1217804.7700000005</v>
      </c>
      <c r="M4" s="578"/>
      <c r="N4" s="578" t="s">
        <v>47</v>
      </c>
    </row>
    <row r="5" spans="1:15">
      <c r="B5" s="174" t="s">
        <v>48</v>
      </c>
      <c r="C5" s="16"/>
      <c r="D5" s="16"/>
      <c r="E5" s="17"/>
      <c r="H5" s="12"/>
      <c r="I5" s="14"/>
      <c r="K5" s="12"/>
      <c r="L5" s="579">
        <f>J18+J71+J169+F12+F156+F130</f>
        <v>3324125</v>
      </c>
      <c r="M5" s="578"/>
      <c r="N5" s="578" t="s">
        <v>49</v>
      </c>
      <c r="O5" s="578" t="s">
        <v>50</v>
      </c>
    </row>
    <row r="6" spans="1:15">
      <c r="B6" s="174"/>
      <c r="C6" s="16"/>
      <c r="D6" s="16"/>
      <c r="E6" s="17"/>
      <c r="H6" s="12"/>
      <c r="I6" s="14"/>
      <c r="K6" s="12"/>
      <c r="L6" s="579">
        <f>F16+F174</f>
        <v>14800000</v>
      </c>
      <c r="M6" s="578" t="s">
        <v>51</v>
      </c>
      <c r="N6" s="578"/>
    </row>
    <row r="7" spans="1:15">
      <c r="A7" s="657" t="s">
        <v>52</v>
      </c>
      <c r="B7" s="658"/>
      <c r="C7" s="661" t="s">
        <v>3</v>
      </c>
      <c r="D7" s="19" t="s">
        <v>53</v>
      </c>
      <c r="E7" s="189" t="s">
        <v>54</v>
      </c>
      <c r="F7" s="189" t="s">
        <v>4</v>
      </c>
      <c r="G7" s="12"/>
      <c r="H7" s="12"/>
      <c r="K7" s="12"/>
      <c r="L7" s="579">
        <f>F146</f>
        <v>17000000</v>
      </c>
      <c r="M7" s="578" t="s">
        <v>55</v>
      </c>
      <c r="N7" s="578"/>
    </row>
    <row r="8" spans="1:15">
      <c r="A8" s="659"/>
      <c r="B8" s="660"/>
      <c r="C8" s="662"/>
      <c r="D8" s="20" t="s">
        <v>56</v>
      </c>
      <c r="E8" s="190">
        <f>F2</f>
        <v>2027</v>
      </c>
      <c r="F8" s="190">
        <f>F2</f>
        <v>2027</v>
      </c>
      <c r="G8" s="12"/>
      <c r="I8" s="12"/>
      <c r="K8" s="12"/>
      <c r="L8" s="579">
        <f>F175</f>
        <v>2505309</v>
      </c>
      <c r="M8" s="579" t="s">
        <v>57</v>
      </c>
      <c r="N8" s="578"/>
    </row>
    <row r="9" spans="1:15" ht="15">
      <c r="A9" s="186" t="s">
        <v>58</v>
      </c>
      <c r="B9" s="462" t="s">
        <v>59</v>
      </c>
      <c r="C9" s="659"/>
      <c r="D9" s="187"/>
      <c r="E9" s="188">
        <f>E30+E31+E34+E35</f>
        <v>1438610.8166666664</v>
      </c>
      <c r="F9" s="188">
        <f>F30+F31+F34+F35</f>
        <v>17263330</v>
      </c>
      <c r="G9" s="200" t="s">
        <v>60</v>
      </c>
      <c r="H9" s="21">
        <f>(F9+F46)/E304</f>
        <v>0.20675477906736331</v>
      </c>
      <c r="I9" s="12"/>
      <c r="K9" s="12"/>
      <c r="L9" s="579">
        <f>F48+F82+F207</f>
        <v>1100000</v>
      </c>
      <c r="M9" s="578" t="s">
        <v>61</v>
      </c>
      <c r="N9" s="578"/>
    </row>
    <row r="10" spans="1:15">
      <c r="A10" s="29"/>
      <c r="B10" s="677" t="s">
        <v>62</v>
      </c>
      <c r="C10" s="81">
        <v>1759</v>
      </c>
      <c r="D10" s="24">
        <v>2000</v>
      </c>
      <c r="E10" s="25">
        <v>0</v>
      </c>
      <c r="F10" s="157">
        <f>E10*12</f>
        <v>0</v>
      </c>
      <c r="G10" s="699" t="s">
        <v>63</v>
      </c>
      <c r="H10" s="12" t="s">
        <v>64</v>
      </c>
      <c r="L10" s="579">
        <f>F54+F86+F213</f>
        <v>1200000</v>
      </c>
      <c r="M10" s="578" t="s">
        <v>65</v>
      </c>
      <c r="N10" s="578"/>
    </row>
    <row r="11" spans="1:15">
      <c r="A11" s="29"/>
      <c r="B11" s="677"/>
      <c r="C11" s="82">
        <v>1760</v>
      </c>
      <c r="D11" s="27">
        <v>15000</v>
      </c>
      <c r="E11" s="30">
        <f>F11/12</f>
        <v>35000</v>
      </c>
      <c r="F11" s="251">
        <f>420000</f>
        <v>420000</v>
      </c>
      <c r="G11" s="699"/>
      <c r="H11" s="12"/>
      <c r="L11" s="579">
        <f>F50+F83+F208</f>
        <v>24647220</v>
      </c>
      <c r="M11" s="580" t="s">
        <v>66</v>
      </c>
      <c r="N11" s="578"/>
    </row>
    <row r="12" spans="1:15" ht="12.75" customHeight="1">
      <c r="A12" s="29"/>
      <c r="B12" s="700" t="s">
        <v>67</v>
      </c>
      <c r="C12" s="81">
        <v>1759</v>
      </c>
      <c r="D12" s="24">
        <v>0</v>
      </c>
      <c r="E12" s="25">
        <v>0</v>
      </c>
      <c r="F12" s="157">
        <f>E12*12</f>
        <v>0</v>
      </c>
      <c r="G12" s="699" t="s">
        <v>63</v>
      </c>
      <c r="H12" s="711" t="s">
        <v>68</v>
      </c>
      <c r="I12" s="387"/>
      <c r="J12" s="387"/>
      <c r="K12" s="201"/>
      <c r="L12" s="579">
        <f>F212</f>
        <v>29260674</v>
      </c>
      <c r="M12" s="581" t="s">
        <v>69</v>
      </c>
      <c r="N12" s="578"/>
    </row>
    <row r="13" spans="1:15">
      <c r="A13" s="29"/>
      <c r="B13" s="694"/>
      <c r="C13" s="82">
        <v>1760</v>
      </c>
      <c r="D13" s="27">
        <v>110000</v>
      </c>
      <c r="E13" s="28">
        <f>F13/12</f>
        <v>216080</v>
      </c>
      <c r="F13" s="251">
        <v>2592960</v>
      </c>
      <c r="G13" s="699"/>
      <c r="H13" s="711"/>
      <c r="I13" s="387"/>
      <c r="J13" s="387"/>
      <c r="K13" s="201"/>
      <c r="L13" s="579">
        <f>F13</f>
        <v>2592960</v>
      </c>
      <c r="M13" s="578" t="s">
        <v>70</v>
      </c>
      <c r="N13" s="578"/>
    </row>
    <row r="14" spans="1:15" ht="12.75" customHeight="1">
      <c r="A14" s="29"/>
      <c r="B14" s="701" t="s">
        <v>71</v>
      </c>
      <c r="C14" s="249">
        <v>1759</v>
      </c>
      <c r="D14" s="24">
        <v>0</v>
      </c>
      <c r="E14" s="25">
        <v>0</v>
      </c>
      <c r="F14" s="157">
        <f>E14*12</f>
        <v>0</v>
      </c>
      <c r="G14" s="699" t="s">
        <v>63</v>
      </c>
      <c r="H14" s="202"/>
      <c r="I14" s="202"/>
      <c r="L14" s="582">
        <f>F190</f>
        <v>2127497.0019999994</v>
      </c>
      <c r="M14" s="578" t="s">
        <v>72</v>
      </c>
      <c r="N14" s="578"/>
      <c r="O14" s="64"/>
    </row>
    <row r="15" spans="1:15">
      <c r="A15" s="29"/>
      <c r="B15" s="702"/>
      <c r="C15" s="458">
        <v>1760</v>
      </c>
      <c r="D15" s="27">
        <v>1000000</v>
      </c>
      <c r="E15" s="28">
        <f>SUM(E16:E18)</f>
        <v>525882.41666666663</v>
      </c>
      <c r="F15" s="251">
        <f>E15*12</f>
        <v>6310589</v>
      </c>
      <c r="G15" s="699"/>
      <c r="H15" s="202"/>
      <c r="I15" s="202"/>
      <c r="L15" s="582">
        <f>F33</f>
        <v>166210</v>
      </c>
      <c r="M15" s="578" t="s">
        <v>73</v>
      </c>
      <c r="N15" s="578"/>
      <c r="O15" s="64"/>
    </row>
    <row r="16" spans="1:15" ht="12.75" customHeight="1">
      <c r="A16" s="29"/>
      <c r="B16" s="264" t="s">
        <v>74</v>
      </c>
      <c r="C16" s="465"/>
      <c r="D16" s="27"/>
      <c r="E16" s="154">
        <f>F16/12</f>
        <v>486673.33333333331</v>
      </c>
      <c r="F16" s="158">
        <f>14800000*39.46%</f>
        <v>5840080</v>
      </c>
      <c r="G16" s="213">
        <f>F16+F174</f>
        <v>14800000</v>
      </c>
      <c r="I16" s="180" t="s">
        <v>45</v>
      </c>
      <c r="J16" s="181">
        <f>F15+F21+F24</f>
        <v>14034655</v>
      </c>
      <c r="K16" s="31"/>
      <c r="L16" s="582">
        <f>F72</f>
        <v>110806.99999999999</v>
      </c>
      <c r="M16" s="578" t="s">
        <v>75</v>
      </c>
      <c r="N16" s="578"/>
      <c r="O16" s="64"/>
    </row>
    <row r="17" spans="1:15" ht="12.75" customHeight="1">
      <c r="A17" s="29"/>
      <c r="B17" s="264"/>
      <c r="C17" s="466"/>
      <c r="D17" s="27"/>
      <c r="E17" s="154"/>
      <c r="F17" s="158"/>
      <c r="G17" s="3"/>
      <c r="H17" s="12"/>
      <c r="I17" s="182" t="s">
        <v>47</v>
      </c>
      <c r="J17" s="183">
        <f>F13+F28+F22</f>
        <v>2642465</v>
      </c>
      <c r="K17" s="67"/>
      <c r="L17" s="582">
        <f>F96</f>
        <v>10419195</v>
      </c>
      <c r="M17" s="578" t="s">
        <v>76</v>
      </c>
      <c r="N17" s="578"/>
      <c r="O17" s="64"/>
    </row>
    <row r="18" spans="1:15" ht="12.75" customHeight="1">
      <c r="A18" s="29"/>
      <c r="B18" s="264" t="s">
        <v>77</v>
      </c>
      <c r="C18" s="467"/>
      <c r="D18" s="27"/>
      <c r="E18" s="154">
        <f>F18/12</f>
        <v>39209.083333333328</v>
      </c>
      <c r="F18" s="158">
        <f>446700*F3-0.11</f>
        <v>470508.99999999994</v>
      </c>
      <c r="G18" s="3"/>
      <c r="H18" s="12"/>
      <c r="I18" s="163" t="s">
        <v>49</v>
      </c>
      <c r="J18" s="191">
        <f>F11</f>
        <v>420000</v>
      </c>
      <c r="K18" s="6" t="s">
        <v>78</v>
      </c>
      <c r="L18" s="580">
        <f>F105</f>
        <v>55399.999999999993</v>
      </c>
      <c r="M18" s="578" t="s">
        <v>79</v>
      </c>
      <c r="N18" s="578"/>
      <c r="O18" s="64"/>
    </row>
    <row r="19" spans="1:15">
      <c r="A19" s="29"/>
      <c r="B19" s="703" t="s">
        <v>80</v>
      </c>
      <c r="C19" s="249" t="s">
        <v>81</v>
      </c>
      <c r="D19" s="24">
        <v>3000</v>
      </c>
      <c r="E19" s="25">
        <f>E22</f>
        <v>4125.416666666667</v>
      </c>
      <c r="F19" s="157">
        <f>E19*12</f>
        <v>49505</v>
      </c>
      <c r="G19" s="699" t="s">
        <v>63</v>
      </c>
      <c r="I19" s="6" t="s">
        <v>82</v>
      </c>
      <c r="J19" s="184">
        <f>F33</f>
        <v>166210</v>
      </c>
      <c r="K19" s="184"/>
      <c r="L19" s="580">
        <f>F113</f>
        <v>55399.999999999993</v>
      </c>
      <c r="M19" s="578" t="s">
        <v>83</v>
      </c>
      <c r="N19" s="578"/>
      <c r="O19" s="64"/>
    </row>
    <row r="20" spans="1:15">
      <c r="A20" s="29"/>
      <c r="B20" s="704"/>
      <c r="C20" s="458">
        <v>1760</v>
      </c>
      <c r="D20" s="27"/>
      <c r="E20" s="28">
        <f>E21</f>
        <v>572047.74999999988</v>
      </c>
      <c r="F20" s="251">
        <f>8416000*F3-2000000+0.2</f>
        <v>6864572.9999999991</v>
      </c>
      <c r="G20" s="699"/>
      <c r="J20" s="185">
        <f>J16+J17+J18+J19</f>
        <v>17263330</v>
      </c>
      <c r="K20" s="185">
        <f>K17</f>
        <v>0</v>
      </c>
      <c r="L20" s="580">
        <f>F121</f>
        <v>1000000</v>
      </c>
      <c r="M20" s="578" t="s">
        <v>84</v>
      </c>
      <c r="N20" s="578"/>
    </row>
    <row r="21" spans="1:15">
      <c r="A21" s="29"/>
      <c r="B21" s="265" t="s">
        <v>85</v>
      </c>
      <c r="C21" s="707"/>
      <c r="D21" s="27"/>
      <c r="E21" s="154">
        <f>F21/12</f>
        <v>572047.74999999988</v>
      </c>
      <c r="F21" s="158">
        <f>F20</f>
        <v>6864572.9999999991</v>
      </c>
      <c r="G21" s="3"/>
      <c r="J21" s="13">
        <f>J20+K20</f>
        <v>17263330</v>
      </c>
      <c r="K21" s="32"/>
      <c r="L21" s="580">
        <f>F153-F156-F157</f>
        <v>0</v>
      </c>
      <c r="M21" s="578" t="s">
        <v>86</v>
      </c>
      <c r="N21" s="578"/>
    </row>
    <row r="22" spans="1:15">
      <c r="A22" s="29"/>
      <c r="B22" s="266" t="s">
        <v>87</v>
      </c>
      <c r="C22" s="708"/>
      <c r="D22" s="27"/>
      <c r="E22" s="154">
        <f>F22/12</f>
        <v>4125.416666666667</v>
      </c>
      <c r="F22" s="158">
        <f>(47000*F3)+0.19-0.29</f>
        <v>49505</v>
      </c>
      <c r="G22" s="213"/>
      <c r="H22" s="202"/>
      <c r="I22" s="202"/>
      <c r="L22" s="580">
        <f>F224</f>
        <v>15094870</v>
      </c>
      <c r="M22" s="578" t="s">
        <v>88</v>
      </c>
      <c r="N22" s="578"/>
    </row>
    <row r="23" spans="1:15" ht="12.75" customHeight="1">
      <c r="A23" s="29"/>
      <c r="B23" s="705" t="s">
        <v>89</v>
      </c>
      <c r="C23" s="81">
        <v>1759</v>
      </c>
      <c r="D23" s="24">
        <v>0</v>
      </c>
      <c r="E23" s="25">
        <v>0</v>
      </c>
      <c r="F23" s="157">
        <v>0</v>
      </c>
      <c r="G23" s="699" t="s">
        <v>63</v>
      </c>
      <c r="H23" s="202"/>
      <c r="I23" s="202"/>
      <c r="L23" s="580">
        <f>F249</f>
        <v>2833720</v>
      </c>
      <c r="M23" s="578" t="s">
        <v>90</v>
      </c>
      <c r="N23" s="578"/>
    </row>
    <row r="24" spans="1:15">
      <c r="A24" s="29"/>
      <c r="B24" s="706"/>
      <c r="C24" s="82">
        <v>1760</v>
      </c>
      <c r="D24" s="27">
        <v>133000</v>
      </c>
      <c r="E24" s="28">
        <f>68000*F3</f>
        <v>71624.399999999994</v>
      </c>
      <c r="F24" s="251">
        <f>E24*12+0.2</f>
        <v>859492.99999999988</v>
      </c>
      <c r="G24" s="699"/>
      <c r="H24" s="159"/>
      <c r="I24" s="160"/>
      <c r="J24" s="12"/>
      <c r="L24" s="580">
        <f>F270</f>
        <v>3500000</v>
      </c>
      <c r="M24" s="579" t="s">
        <v>91</v>
      </c>
      <c r="N24" s="578"/>
    </row>
    <row r="25" spans="1:15">
      <c r="A25" s="29"/>
      <c r="B25" s="677" t="s">
        <v>92</v>
      </c>
      <c r="C25" s="81">
        <v>1759</v>
      </c>
      <c r="D25" s="24">
        <v>0</v>
      </c>
      <c r="E25" s="25">
        <v>0</v>
      </c>
      <c r="F25" s="157">
        <f>E25*12</f>
        <v>0</v>
      </c>
      <c r="G25" s="699" t="s">
        <v>63</v>
      </c>
      <c r="H25" s="13"/>
      <c r="I25" s="12"/>
      <c r="L25" s="580">
        <f>F281</f>
        <v>1711130</v>
      </c>
      <c r="M25" s="579" t="s">
        <v>93</v>
      </c>
      <c r="N25" s="578"/>
    </row>
    <row r="26" spans="1:15">
      <c r="A26" s="29"/>
      <c r="B26" s="677"/>
      <c r="C26" s="82">
        <v>1760</v>
      </c>
      <c r="D26" s="27">
        <v>5000</v>
      </c>
      <c r="E26" s="28">
        <v>0</v>
      </c>
      <c r="F26" s="251">
        <v>0</v>
      </c>
      <c r="G26" s="699"/>
      <c r="H26" s="13"/>
      <c r="I26" s="12"/>
      <c r="L26" s="579">
        <f>F149-L7</f>
        <v>2698261</v>
      </c>
      <c r="M26" s="578" t="s">
        <v>94</v>
      </c>
      <c r="N26" s="578"/>
    </row>
    <row r="27" spans="1:15">
      <c r="A27" s="29"/>
      <c r="B27" s="700" t="s">
        <v>95</v>
      </c>
      <c r="C27" s="81">
        <v>1759</v>
      </c>
      <c r="D27" s="24">
        <v>35000</v>
      </c>
      <c r="E27" s="25">
        <v>0</v>
      </c>
      <c r="F27" s="157">
        <v>0</v>
      </c>
      <c r="G27" s="693" t="s">
        <v>96</v>
      </c>
      <c r="H27" s="35"/>
      <c r="I27" s="12"/>
      <c r="K27" s="153"/>
      <c r="L27" s="579">
        <f>F132</f>
        <v>8773100</v>
      </c>
      <c r="M27" s="578" t="s">
        <v>97</v>
      </c>
      <c r="N27" s="578"/>
    </row>
    <row r="28" spans="1:15" ht="14.25">
      <c r="A28" s="29"/>
      <c r="B28" s="694"/>
      <c r="C28" s="459">
        <v>1760</v>
      </c>
      <c r="D28" s="37">
        <v>0</v>
      </c>
      <c r="E28" s="253">
        <f>SUM(E29:E29)</f>
        <v>0</v>
      </c>
      <c r="F28" s="179">
        <f>E28*12</f>
        <v>0</v>
      </c>
      <c r="G28" s="693"/>
      <c r="I28" s="12"/>
      <c r="K28" s="153"/>
      <c r="L28" s="579">
        <f>F165</f>
        <v>2000000</v>
      </c>
      <c r="M28" s="578" t="s">
        <v>98</v>
      </c>
      <c r="N28" s="578"/>
    </row>
    <row r="29" spans="1:15">
      <c r="A29" s="29"/>
      <c r="B29" s="380" t="s">
        <v>99</v>
      </c>
      <c r="C29" s="460"/>
      <c r="D29" s="156"/>
      <c r="E29" s="154"/>
      <c r="F29" s="179"/>
      <c r="G29" s="4"/>
      <c r="H29" s="6" t="s">
        <v>100</v>
      </c>
      <c r="L29" s="583">
        <f>SUM(L2:L28)</f>
        <v>172999000.002</v>
      </c>
      <c r="M29" s="578"/>
      <c r="N29" s="578"/>
    </row>
    <row r="30" spans="1:15" ht="18" customHeight="1">
      <c r="A30" s="29"/>
      <c r="B30" s="679" t="s">
        <v>101</v>
      </c>
      <c r="C30" s="679"/>
      <c r="D30" s="192" t="e">
        <f>#REF!+D10+D12+D19+#REF!+D23+#REF!+D25+D27</f>
        <v>#REF!</v>
      </c>
      <c r="E30" s="192">
        <f>E10+E12+E14+E19+E23+E25+E27</f>
        <v>4125.416666666667</v>
      </c>
      <c r="F30" s="192">
        <f>F10+F12+F14+F19+F23+F25+F27</f>
        <v>49505</v>
      </c>
      <c r="G30" s="371"/>
      <c r="H30" s="12"/>
      <c r="L30" s="584">
        <f>172000000</f>
        <v>172000000</v>
      </c>
      <c r="M30" s="578"/>
      <c r="N30" s="578"/>
    </row>
    <row r="31" spans="1:15" ht="16.5" customHeight="1">
      <c r="B31" s="713" t="s">
        <v>102</v>
      </c>
      <c r="C31" s="714"/>
      <c r="D31" s="193" t="e">
        <f>#REF!+D11+D13+D20+#REF!+D24+#REF!+D26+D28</f>
        <v>#REF!</v>
      </c>
      <c r="E31" s="193">
        <f>E11+E13+E20+E15+E24+E26+E28</f>
        <v>1420634.5666666664</v>
      </c>
      <c r="F31" s="193">
        <f>F11+F13+F20+F15+F24+F26+F28</f>
        <v>17047615</v>
      </c>
      <c r="G31" s="361"/>
      <c r="J31" s="153"/>
      <c r="K31" s="12"/>
      <c r="L31" s="579">
        <f>L30-L29</f>
        <v>-999000.00200000405</v>
      </c>
      <c r="M31" s="578"/>
      <c r="N31" s="578"/>
    </row>
    <row r="32" spans="1:15">
      <c r="B32" s="698" t="s">
        <v>103</v>
      </c>
      <c r="C32" s="250">
        <v>1759</v>
      </c>
      <c r="D32" s="38"/>
      <c r="E32" s="39">
        <v>0</v>
      </c>
      <c r="F32" s="39">
        <v>0</v>
      </c>
      <c r="G32" s="699" t="s">
        <v>63</v>
      </c>
      <c r="I32" s="12"/>
      <c r="K32" s="153"/>
      <c r="L32" s="584">
        <f>L3+L6+L7+L8+L22+L23+L24</f>
        <v>77066702.230000004</v>
      </c>
      <c r="M32" s="578"/>
      <c r="N32" s="578"/>
    </row>
    <row r="33" spans="1:11">
      <c r="B33" s="698"/>
      <c r="C33" s="461">
        <v>1760</v>
      </c>
      <c r="D33" s="40">
        <v>10000</v>
      </c>
      <c r="E33" s="40">
        <f>F33/12</f>
        <v>13850.833333333334</v>
      </c>
      <c r="F33" s="37">
        <f>157800*F3-0.74</f>
        <v>166210</v>
      </c>
      <c r="G33" s="699"/>
      <c r="I33" s="12"/>
      <c r="K33" s="12"/>
    </row>
    <row r="34" spans="1:11">
      <c r="B34" s="665" t="s">
        <v>104</v>
      </c>
      <c r="C34" s="666"/>
      <c r="D34" s="194">
        <v>0</v>
      </c>
      <c r="E34" s="194">
        <f>E32</f>
        <v>0</v>
      </c>
      <c r="F34" s="194">
        <f>F32</f>
        <v>0</v>
      </c>
      <c r="G34" s="12"/>
      <c r="H34" s="12"/>
    </row>
    <row r="35" spans="1:11">
      <c r="B35" s="686" t="s">
        <v>105</v>
      </c>
      <c r="C35" s="686"/>
      <c r="D35" s="195">
        <f>D33</f>
        <v>10000</v>
      </c>
      <c r="E35" s="195">
        <f>E33</f>
        <v>13850.833333333334</v>
      </c>
      <c r="F35" s="195">
        <f>F33</f>
        <v>166210</v>
      </c>
      <c r="G35" s="362"/>
      <c r="H35" s="41"/>
    </row>
    <row r="36" spans="1:11">
      <c r="B36" s="18"/>
      <c r="C36" s="689">
        <v>1759</v>
      </c>
      <c r="D36" s="16"/>
      <c r="E36" s="196" t="s">
        <v>106</v>
      </c>
      <c r="F36" s="197">
        <f>F27</f>
        <v>0</v>
      </c>
      <c r="G36" s="13"/>
    </row>
    <row r="37" spans="1:11">
      <c r="B37" s="18"/>
      <c r="C37" s="667"/>
      <c r="D37" s="16"/>
      <c r="E37" s="44" t="s">
        <v>107</v>
      </c>
      <c r="F37" s="43">
        <f>F10+F12+F14+F19+F23+F25</f>
        <v>49505</v>
      </c>
      <c r="G37" s="170">
        <f>F36+F37+F38</f>
        <v>49505</v>
      </c>
      <c r="H37" s="162"/>
    </row>
    <row r="38" spans="1:11">
      <c r="B38" s="18"/>
      <c r="C38" s="667"/>
      <c r="D38" s="16"/>
      <c r="E38" s="44" t="s">
        <v>108</v>
      </c>
      <c r="F38" s="43">
        <f>F32</f>
        <v>0</v>
      </c>
      <c r="G38" s="13"/>
    </row>
    <row r="39" spans="1:11">
      <c r="B39" s="18"/>
      <c r="C39" s="667">
        <v>1760</v>
      </c>
      <c r="D39" s="16"/>
      <c r="E39" s="42" t="s">
        <v>106</v>
      </c>
      <c r="F39" s="43">
        <f>F28</f>
        <v>0</v>
      </c>
      <c r="G39" s="13"/>
    </row>
    <row r="40" spans="1:11">
      <c r="B40" s="18"/>
      <c r="C40" s="667"/>
      <c r="D40" s="16"/>
      <c r="E40" s="44" t="s">
        <v>107</v>
      </c>
      <c r="F40" s="43">
        <f>F11+F13+F15+F20+F24+F26</f>
        <v>17047615</v>
      </c>
      <c r="G40" s="170">
        <f>F39+F40+F41</f>
        <v>17213825</v>
      </c>
      <c r="H40" s="162"/>
    </row>
    <row r="41" spans="1:11">
      <c r="B41" s="18"/>
      <c r="C41" s="667"/>
      <c r="D41" s="16"/>
      <c r="E41" s="44" t="s">
        <v>108</v>
      </c>
      <c r="F41" s="43">
        <f>F33</f>
        <v>166210</v>
      </c>
      <c r="G41" s="13"/>
    </row>
    <row r="42" spans="1:11">
      <c r="B42" s="18"/>
      <c r="C42" s="16"/>
      <c r="D42" s="16"/>
      <c r="E42" s="41"/>
      <c r="F42" s="12"/>
      <c r="G42" s="153"/>
      <c r="H42" s="153"/>
    </row>
    <row r="43" spans="1:11">
      <c r="B43" s="18"/>
      <c r="C43" s="16"/>
      <c r="D43" s="16"/>
      <c r="E43" s="41"/>
      <c r="F43" s="12"/>
    </row>
    <row r="44" spans="1:11">
      <c r="A44" s="657" t="s">
        <v>52</v>
      </c>
      <c r="B44" s="658"/>
      <c r="C44" s="661" t="s">
        <v>3</v>
      </c>
      <c r="D44" s="19" t="s">
        <v>53</v>
      </c>
      <c r="E44" s="189" t="s">
        <v>54</v>
      </c>
      <c r="F44" s="189" t="s">
        <v>4</v>
      </c>
      <c r="G44" s="12"/>
    </row>
    <row r="45" spans="1:11">
      <c r="A45" s="659"/>
      <c r="B45" s="660"/>
      <c r="C45" s="662"/>
      <c r="D45" s="20" t="s">
        <v>56</v>
      </c>
      <c r="E45" s="190">
        <f>F2</f>
        <v>2027</v>
      </c>
      <c r="F45" s="190">
        <f>F2</f>
        <v>2027</v>
      </c>
      <c r="G45" s="12"/>
    </row>
    <row r="46" spans="1:11" ht="15">
      <c r="A46" s="186" t="s">
        <v>109</v>
      </c>
      <c r="B46" s="462" t="s">
        <v>110</v>
      </c>
      <c r="C46" s="659"/>
      <c r="D46" s="187"/>
      <c r="E46" s="188">
        <f>E55+E56</f>
        <v>2916415.333333333</v>
      </c>
      <c r="F46" s="188">
        <f>F55+F56</f>
        <v>18298492</v>
      </c>
      <c r="G46" s="200" t="s">
        <v>60</v>
      </c>
    </row>
    <row r="47" spans="1:11">
      <c r="B47" s="681" t="s">
        <v>111</v>
      </c>
      <c r="C47" s="38">
        <v>1759</v>
      </c>
      <c r="D47" s="24">
        <v>64000</v>
      </c>
      <c r="E47" s="25">
        <v>0</v>
      </c>
      <c r="F47" s="157">
        <v>0</v>
      </c>
      <c r="G47" s="693" t="s">
        <v>96</v>
      </c>
      <c r="H47" s="12"/>
    </row>
    <row r="48" spans="1:11">
      <c r="B48" s="682"/>
      <c r="C48" s="26">
        <v>1760</v>
      </c>
      <c r="D48" s="27">
        <v>0</v>
      </c>
      <c r="E48" s="28">
        <f>F48/12</f>
        <v>66666.666666666672</v>
      </c>
      <c r="F48" s="251">
        <f>855000-55000</f>
        <v>800000</v>
      </c>
      <c r="G48" s="693"/>
      <c r="I48" s="12">
        <f>E50</f>
        <v>2783082</v>
      </c>
      <c r="J48" s="12">
        <f>F50</f>
        <v>16698492</v>
      </c>
      <c r="K48" s="712" t="s">
        <v>112</v>
      </c>
    </row>
    <row r="49" spans="2:11">
      <c r="B49" s="681" t="s">
        <v>113</v>
      </c>
      <c r="C49" s="23">
        <v>1759</v>
      </c>
      <c r="D49" s="24">
        <v>400000</v>
      </c>
      <c r="E49" s="25">
        <v>0</v>
      </c>
      <c r="F49" s="252">
        <f>E49*10</f>
        <v>0</v>
      </c>
      <c r="G49" s="693" t="s">
        <v>96</v>
      </c>
      <c r="H49" s="12"/>
      <c r="I49" s="12">
        <f>E83</f>
        <v>431326</v>
      </c>
      <c r="J49" s="12">
        <f>F83</f>
        <v>2587956</v>
      </c>
      <c r="K49" s="712"/>
    </row>
    <row r="50" spans="2:11">
      <c r="B50" s="682"/>
      <c r="C50" s="26">
        <v>1760</v>
      </c>
      <c r="D50" s="27"/>
      <c r="E50" s="28">
        <v>2783082</v>
      </c>
      <c r="F50" s="179">
        <f>E50*6</f>
        <v>16698492</v>
      </c>
      <c r="G50" s="693"/>
      <c r="H50" s="12" t="s">
        <v>114</v>
      </c>
      <c r="I50" s="12">
        <f>E208</f>
        <v>893462</v>
      </c>
      <c r="J50" s="12">
        <f>F208</f>
        <v>5360772</v>
      </c>
      <c r="K50" s="712"/>
    </row>
    <row r="51" spans="2:11">
      <c r="B51" s="694" t="s">
        <v>115</v>
      </c>
      <c r="C51" s="23">
        <v>1759</v>
      </c>
      <c r="D51" s="24">
        <v>35000</v>
      </c>
      <c r="E51" s="25">
        <v>0</v>
      </c>
      <c r="F51" s="157">
        <v>0</v>
      </c>
      <c r="G51" s="693" t="s">
        <v>96</v>
      </c>
      <c r="I51" s="12">
        <f>I48+I49+I50</f>
        <v>4107870</v>
      </c>
      <c r="J51" s="12">
        <f>J48+J49+J50</f>
        <v>24647220</v>
      </c>
      <c r="K51" s="712"/>
    </row>
    <row r="52" spans="2:11" ht="14.25">
      <c r="B52" s="695"/>
      <c r="C52" s="585">
        <v>1760</v>
      </c>
      <c r="D52" s="37">
        <v>0</v>
      </c>
      <c r="E52" s="253">
        <f>SUM(E53:E54)</f>
        <v>66666.666666666672</v>
      </c>
      <c r="F52" s="179">
        <f>E52*12</f>
        <v>800000</v>
      </c>
      <c r="G52" s="693"/>
    </row>
    <row r="53" spans="2:11">
      <c r="B53" s="264" t="s">
        <v>116</v>
      </c>
      <c r="C53" s="709"/>
      <c r="D53" s="156"/>
      <c r="E53" s="154"/>
      <c r="F53" s="179"/>
      <c r="H53" s="687" t="s">
        <v>117</v>
      </c>
      <c r="I53" s="687"/>
      <c r="J53" s="687"/>
      <c r="K53" s="687"/>
    </row>
    <row r="54" spans="2:11">
      <c r="B54" s="268" t="s">
        <v>118</v>
      </c>
      <c r="C54" s="710"/>
      <c r="D54" s="156"/>
      <c r="E54" s="154">
        <f>F54/12</f>
        <v>66666.666666666672</v>
      </c>
      <c r="F54" s="154">
        <f>980000-180000</f>
        <v>800000</v>
      </c>
    </row>
    <row r="55" spans="2:11">
      <c r="B55" s="688" t="s">
        <v>101</v>
      </c>
      <c r="C55" s="688"/>
      <c r="D55" s="192" t="e">
        <f>D30+D32+D34+D41+#REF!+D46+D48+D50+D52</f>
        <v>#REF!</v>
      </c>
      <c r="E55" s="192">
        <f>E47+E49+E51</f>
        <v>0</v>
      </c>
      <c r="F55" s="192">
        <f>F47+F49+F51</f>
        <v>0</v>
      </c>
    </row>
    <row r="56" spans="2:11">
      <c r="B56" s="686" t="s">
        <v>102</v>
      </c>
      <c r="C56" s="686"/>
      <c r="D56" s="381" t="e">
        <f>D31+D33+D35+D42+#REF!+D47+D49+D51+D53</f>
        <v>#REF!</v>
      </c>
      <c r="E56" s="193">
        <f>E48+E50+E52</f>
        <v>2916415.333333333</v>
      </c>
      <c r="F56" s="193">
        <f>F48+F50+F52</f>
        <v>18298492</v>
      </c>
      <c r="J56" s="388"/>
    </row>
    <row r="57" spans="2:11">
      <c r="B57" s="18"/>
      <c r="C57" s="689">
        <v>1759</v>
      </c>
      <c r="D57" s="16"/>
      <c r="E57" s="196" t="s">
        <v>106</v>
      </c>
      <c r="F57" s="197">
        <f>F47+F49+F51</f>
        <v>0</v>
      </c>
      <c r="J57" s="388"/>
    </row>
    <row r="58" spans="2:11">
      <c r="B58" s="18"/>
      <c r="C58" s="667"/>
      <c r="D58" s="16"/>
      <c r="E58" s="44" t="s">
        <v>107</v>
      </c>
      <c r="F58" s="43">
        <v>0</v>
      </c>
      <c r="H58" s="12"/>
      <c r="J58" s="153"/>
    </row>
    <row r="59" spans="2:11">
      <c r="B59" s="18"/>
      <c r="C59" s="667"/>
      <c r="D59" s="16"/>
      <c r="E59" s="44" t="s">
        <v>108</v>
      </c>
      <c r="F59" s="43">
        <v>0</v>
      </c>
      <c r="G59" s="170">
        <f>F57+F58+F59</f>
        <v>0</v>
      </c>
      <c r="H59" s="162"/>
      <c r="J59" s="153"/>
    </row>
    <row r="60" spans="2:11">
      <c r="B60" s="18"/>
      <c r="C60" s="667">
        <v>1760</v>
      </c>
      <c r="D60" s="16"/>
      <c r="E60" s="42" t="s">
        <v>106</v>
      </c>
      <c r="F60" s="43">
        <f>F48+F50+F52</f>
        <v>18298492</v>
      </c>
    </row>
    <row r="61" spans="2:11">
      <c r="B61" s="18"/>
      <c r="C61" s="667"/>
      <c r="D61" s="16"/>
      <c r="E61" s="44" t="s">
        <v>107</v>
      </c>
      <c r="F61" s="43">
        <v>0</v>
      </c>
    </row>
    <row r="62" spans="2:11">
      <c r="B62" s="18"/>
      <c r="C62" s="667"/>
      <c r="D62" s="16"/>
      <c r="E62" s="44" t="s">
        <v>108</v>
      </c>
      <c r="F62" s="43">
        <v>0</v>
      </c>
      <c r="G62" s="170">
        <f>F60+F61+F62</f>
        <v>18298492</v>
      </c>
      <c r="H62" s="162"/>
    </row>
    <row r="63" spans="2:11">
      <c r="B63" s="18"/>
      <c r="C63" s="16"/>
      <c r="D63" s="16"/>
      <c r="E63" s="41"/>
      <c r="F63" s="12"/>
      <c r="G63" s="13">
        <f>G37+G40+G59+G62</f>
        <v>35561822</v>
      </c>
      <c r="H63" s="59" t="s">
        <v>119</v>
      </c>
    </row>
    <row r="64" spans="2:11">
      <c r="B64" s="18"/>
      <c r="C64" s="16"/>
      <c r="D64" s="16"/>
      <c r="E64" s="41"/>
      <c r="F64" s="12"/>
    </row>
    <row r="65" spans="1:11">
      <c r="A65" s="657" t="s">
        <v>52</v>
      </c>
      <c r="B65" s="658"/>
      <c r="C65" s="661" t="s">
        <v>3</v>
      </c>
      <c r="D65" s="19" t="s">
        <v>53</v>
      </c>
      <c r="E65" s="189" t="s">
        <v>120</v>
      </c>
      <c r="F65" s="189" t="s">
        <v>4</v>
      </c>
    </row>
    <row r="66" spans="1:11">
      <c r="A66" s="659"/>
      <c r="B66" s="660"/>
      <c r="C66" s="662"/>
      <c r="D66" s="20" t="s">
        <v>56</v>
      </c>
      <c r="E66" s="190">
        <f>F2</f>
        <v>2027</v>
      </c>
      <c r="F66" s="190">
        <f>F2</f>
        <v>2027</v>
      </c>
      <c r="I66" s="12"/>
    </row>
    <row r="67" spans="1:11" ht="15">
      <c r="A67" s="186" t="s">
        <v>58</v>
      </c>
      <c r="B67" s="462" t="s">
        <v>121</v>
      </c>
      <c r="C67" s="659"/>
      <c r="D67" s="155"/>
      <c r="E67" s="206">
        <f>E70+E72</f>
        <v>51365.916666666664</v>
      </c>
      <c r="F67" s="206">
        <f>F70+F72</f>
        <v>616391</v>
      </c>
      <c r="G67" s="200" t="s">
        <v>60</v>
      </c>
      <c r="H67" s="21">
        <f>(F67+F81)/E304</f>
        <v>1.9879924418373489E-2</v>
      </c>
    </row>
    <row r="68" spans="1:11">
      <c r="A68" s="29"/>
      <c r="B68" s="204" t="s">
        <v>80</v>
      </c>
      <c r="C68" s="26" t="s">
        <v>122</v>
      </c>
      <c r="D68" s="27">
        <v>27000</v>
      </c>
      <c r="E68" s="28">
        <f>F68/12</f>
        <v>42132</v>
      </c>
      <c r="F68" s="27">
        <f>524543-4-18955</f>
        <v>505584</v>
      </c>
      <c r="G68" s="49" t="s">
        <v>63</v>
      </c>
      <c r="H68" s="59"/>
      <c r="I68" s="13"/>
    </row>
    <row r="69" spans="1:11">
      <c r="A69" s="29"/>
      <c r="B69" s="207" t="s">
        <v>92</v>
      </c>
      <c r="C69" s="26" t="s">
        <v>122</v>
      </c>
      <c r="D69" s="27">
        <v>0</v>
      </c>
      <c r="E69" s="28">
        <v>0</v>
      </c>
      <c r="F69" s="50">
        <v>0</v>
      </c>
      <c r="G69" s="51" t="s">
        <v>63</v>
      </c>
      <c r="H69" s="12"/>
      <c r="I69" s="180" t="s">
        <v>45</v>
      </c>
      <c r="J69" s="181">
        <f>F68</f>
        <v>505584</v>
      </c>
      <c r="K69" s="12"/>
    </row>
    <row r="70" spans="1:11">
      <c r="A70" s="29"/>
      <c r="B70" s="378" t="s">
        <v>102</v>
      </c>
      <c r="C70" s="382"/>
      <c r="D70" s="193" t="e">
        <f>D68+#REF!</f>
        <v>#REF!</v>
      </c>
      <c r="E70" s="193">
        <f>E68+E69</f>
        <v>42132</v>
      </c>
      <c r="F70" s="203">
        <f>F68+F69</f>
        <v>505584</v>
      </c>
      <c r="G70" s="364"/>
      <c r="H70" s="54"/>
      <c r="I70" s="182" t="s">
        <v>47</v>
      </c>
      <c r="J70" s="183"/>
      <c r="K70" s="392"/>
    </row>
    <row r="71" spans="1:11">
      <c r="A71" s="29"/>
      <c r="B71" s="55" t="s">
        <v>103</v>
      </c>
      <c r="C71" s="56" t="s">
        <v>122</v>
      </c>
      <c r="D71" s="57"/>
      <c r="E71" s="40">
        <f>F71/12</f>
        <v>9233.9166666666661</v>
      </c>
      <c r="F71" s="28">
        <f>105200*F3-0.16</f>
        <v>110806.99999999999</v>
      </c>
      <c r="G71" s="51" t="s">
        <v>63</v>
      </c>
      <c r="I71" s="163" t="s">
        <v>49</v>
      </c>
      <c r="J71" s="191"/>
      <c r="K71" s="6" t="s">
        <v>50</v>
      </c>
    </row>
    <row r="72" spans="1:11">
      <c r="A72" s="29"/>
      <c r="B72" s="379" t="s">
        <v>105</v>
      </c>
      <c r="C72" s="379"/>
      <c r="D72" s="193" t="e">
        <f>#REF!+#REF!</f>
        <v>#REF!</v>
      </c>
      <c r="E72" s="193">
        <f>E71</f>
        <v>9233.9166666666661</v>
      </c>
      <c r="F72" s="203">
        <f>F71</f>
        <v>110806.99999999999</v>
      </c>
      <c r="G72" s="365"/>
      <c r="I72" s="6" t="s">
        <v>82</v>
      </c>
      <c r="J72" s="184">
        <f>F71</f>
        <v>110806.99999999999</v>
      </c>
      <c r="K72" s="176"/>
    </row>
    <row r="73" spans="1:11">
      <c r="A73" s="29"/>
      <c r="B73" s="18"/>
      <c r="C73" s="667">
        <v>1760</v>
      </c>
      <c r="D73" s="16"/>
      <c r="E73" s="42" t="s">
        <v>106</v>
      </c>
      <c r="F73" s="58">
        <v>0</v>
      </c>
      <c r="G73" s="59"/>
      <c r="H73" s="13"/>
      <c r="J73" s="13">
        <f>J69+J70+J71+J72</f>
        <v>616391</v>
      </c>
      <c r="K73" s="13">
        <f>K70</f>
        <v>0</v>
      </c>
    </row>
    <row r="74" spans="1:11">
      <c r="B74" s="18"/>
      <c r="C74" s="667"/>
      <c r="D74" s="16"/>
      <c r="E74" s="44" t="s">
        <v>107</v>
      </c>
      <c r="F74" s="58">
        <f>F68</f>
        <v>505584</v>
      </c>
      <c r="J74" s="13">
        <f>J73+K73</f>
        <v>616391</v>
      </c>
    </row>
    <row r="75" spans="1:11">
      <c r="B75" s="18"/>
      <c r="C75" s="667"/>
      <c r="D75" s="16"/>
      <c r="E75" s="42" t="s">
        <v>123</v>
      </c>
      <c r="F75" s="58">
        <v>0</v>
      </c>
      <c r="G75" s="13"/>
      <c r="H75" s="17"/>
      <c r="I75" s="208"/>
    </row>
    <row r="76" spans="1:11">
      <c r="B76" s="18"/>
      <c r="C76" s="667"/>
      <c r="D76" s="16"/>
      <c r="E76" s="44" t="s">
        <v>108</v>
      </c>
      <c r="F76" s="58">
        <f>F71</f>
        <v>110806.99999999999</v>
      </c>
      <c r="G76" s="170">
        <f>F73+F74+F75+F76</f>
        <v>616391</v>
      </c>
      <c r="H76" s="162"/>
    </row>
    <row r="77" spans="1:11">
      <c r="H77" s="153"/>
      <c r="I77" s="12"/>
      <c r="J77" s="12"/>
    </row>
    <row r="78" spans="1:11">
      <c r="G78" s="153"/>
      <c r="I78" s="12"/>
    </row>
    <row r="79" spans="1:11">
      <c r="A79" s="657" t="s">
        <v>52</v>
      </c>
      <c r="B79" s="658"/>
      <c r="C79" s="661" t="s">
        <v>3</v>
      </c>
      <c r="D79" s="19" t="s">
        <v>53</v>
      </c>
      <c r="E79" s="189" t="s">
        <v>54</v>
      </c>
      <c r="F79" s="189" t="s">
        <v>4</v>
      </c>
      <c r="G79" s="12"/>
      <c r="H79" s="13"/>
      <c r="I79" s="12"/>
    </row>
    <row r="80" spans="1:11">
      <c r="A80" s="659"/>
      <c r="B80" s="660"/>
      <c r="C80" s="662"/>
      <c r="D80" s="20" t="s">
        <v>56</v>
      </c>
      <c r="E80" s="190">
        <f>F2</f>
        <v>2027</v>
      </c>
      <c r="F80" s="190">
        <f>F2</f>
        <v>2027</v>
      </c>
      <c r="G80" s="12"/>
      <c r="H80" s="13"/>
      <c r="I80" s="12"/>
    </row>
    <row r="81" spans="1:9" ht="15">
      <c r="A81" s="186" t="s">
        <v>109</v>
      </c>
      <c r="B81" s="462" t="s">
        <v>124</v>
      </c>
      <c r="C81" s="659"/>
      <c r="D81" s="187"/>
      <c r="E81" s="188">
        <f>E87</f>
        <v>449242.66666666663</v>
      </c>
      <c r="F81" s="188">
        <f>F87</f>
        <v>2802956</v>
      </c>
      <c r="G81" s="200" t="s">
        <v>60</v>
      </c>
      <c r="H81" s="13"/>
      <c r="I81" s="12"/>
    </row>
    <row r="82" spans="1:9">
      <c r="B82" s="205" t="s">
        <v>125</v>
      </c>
      <c r="C82" s="161" t="s">
        <v>122</v>
      </c>
      <c r="D82" s="24">
        <v>7500</v>
      </c>
      <c r="E82" s="28">
        <f>F82/12</f>
        <v>9583.3333333333339</v>
      </c>
      <c r="F82" s="27">
        <f>120000-5000</f>
        <v>115000</v>
      </c>
      <c r="G82" s="48" t="s">
        <v>96</v>
      </c>
      <c r="H82" s="13"/>
      <c r="I82" s="12"/>
    </row>
    <row r="83" spans="1:9">
      <c r="B83" s="205" t="s">
        <v>126</v>
      </c>
      <c r="C83" s="26" t="s">
        <v>122</v>
      </c>
      <c r="D83" s="27"/>
      <c r="E83" s="28">
        <v>431326</v>
      </c>
      <c r="F83" s="27">
        <f>E83*6</f>
        <v>2587956</v>
      </c>
      <c r="G83" s="48" t="s">
        <v>96</v>
      </c>
      <c r="H83" s="12" t="s">
        <v>114</v>
      </c>
      <c r="I83" s="12"/>
    </row>
    <row r="84" spans="1:9">
      <c r="B84" s="205" t="s">
        <v>115</v>
      </c>
      <c r="C84" s="26" t="s">
        <v>122</v>
      </c>
      <c r="D84" s="24">
        <v>3400</v>
      </c>
      <c r="E84" s="28">
        <f>E85+E86</f>
        <v>8333.3333333333339</v>
      </c>
      <c r="F84" s="50">
        <f>E84*12</f>
        <v>100000</v>
      </c>
      <c r="G84" s="52" t="s">
        <v>96</v>
      </c>
      <c r="H84" s="13"/>
      <c r="I84" s="12"/>
    </row>
    <row r="85" spans="1:9">
      <c r="B85" s="267" t="s">
        <v>116</v>
      </c>
      <c r="C85" s="716"/>
      <c r="D85" s="24"/>
      <c r="E85" s="154"/>
      <c r="F85" s="154"/>
      <c r="G85" s="176" t="s">
        <v>117</v>
      </c>
      <c r="H85" s="13"/>
      <c r="I85" s="12"/>
    </row>
    <row r="86" spans="1:9">
      <c r="B86" s="268" t="s">
        <v>118</v>
      </c>
      <c r="C86" s="717"/>
      <c r="D86" s="24"/>
      <c r="E86" s="154">
        <f>F86/12</f>
        <v>8333.3333333333339</v>
      </c>
      <c r="F86" s="154">
        <f>100000</f>
        <v>100000</v>
      </c>
      <c r="G86" s="52"/>
      <c r="H86" s="13"/>
      <c r="I86" s="12"/>
    </row>
    <row r="87" spans="1:9">
      <c r="B87" s="686" t="s">
        <v>102</v>
      </c>
      <c r="C87" s="686"/>
      <c r="D87" s="381" t="e">
        <f>D63+D65+D67+D74+#REF!+D79+D81+D83+D85</f>
        <v>#VALUE!</v>
      </c>
      <c r="E87" s="193">
        <f>E82+E83+E84</f>
        <v>449242.66666666663</v>
      </c>
      <c r="F87" s="193">
        <f>F82+F83+F84</f>
        <v>2802956</v>
      </c>
      <c r="G87" s="59"/>
      <c r="H87" s="13"/>
      <c r="I87" s="12"/>
    </row>
    <row r="88" spans="1:9">
      <c r="B88" s="18"/>
      <c r="C88" s="667">
        <v>1760</v>
      </c>
      <c r="D88" s="16"/>
      <c r="E88" s="42" t="s">
        <v>106</v>
      </c>
      <c r="F88" s="58">
        <f>F82+F83+F84</f>
        <v>2802956</v>
      </c>
      <c r="G88" s="59"/>
      <c r="H88" s="13"/>
      <c r="I88" s="12"/>
    </row>
    <row r="89" spans="1:9">
      <c r="B89" s="18"/>
      <c r="C89" s="667"/>
      <c r="D89" s="16"/>
      <c r="E89" s="44" t="s">
        <v>107</v>
      </c>
      <c r="F89" s="58">
        <v>0</v>
      </c>
      <c r="G89" s="59"/>
      <c r="H89" s="13"/>
      <c r="I89" s="12"/>
    </row>
    <row r="90" spans="1:9">
      <c r="B90" s="18"/>
      <c r="C90" s="667"/>
      <c r="D90" s="16"/>
      <c r="E90" s="42" t="s">
        <v>123</v>
      </c>
      <c r="F90" s="58">
        <v>0</v>
      </c>
      <c r="G90" s="59"/>
      <c r="H90" s="13"/>
      <c r="I90" s="12"/>
    </row>
    <row r="91" spans="1:9">
      <c r="B91" s="18"/>
      <c r="C91" s="667"/>
      <c r="D91" s="16"/>
      <c r="E91" s="44" t="s">
        <v>108</v>
      </c>
      <c r="F91" s="58">
        <v>0</v>
      </c>
      <c r="G91" s="170">
        <f>F88+F89+F90+F91</f>
        <v>2802956</v>
      </c>
      <c r="H91" s="162"/>
      <c r="I91" s="12"/>
    </row>
    <row r="92" spans="1:9">
      <c r="B92" s="18"/>
      <c r="C92" s="79"/>
      <c r="D92" s="16"/>
      <c r="E92" s="91"/>
      <c r="F92" s="13"/>
      <c r="G92" s="13">
        <f>G76+G91</f>
        <v>3419347</v>
      </c>
      <c r="H92" s="59" t="s">
        <v>127</v>
      </c>
      <c r="I92" s="12"/>
    </row>
    <row r="93" spans="1:9">
      <c r="B93" s="18"/>
      <c r="C93" s="79"/>
      <c r="D93" s="16"/>
      <c r="E93" s="91"/>
      <c r="F93" s="13"/>
      <c r="G93" s="13"/>
      <c r="H93" s="59"/>
      <c r="I93" s="12"/>
    </row>
    <row r="94" spans="1:9">
      <c r="A94" s="657" t="s">
        <v>52</v>
      </c>
      <c r="B94" s="658"/>
      <c r="C94" s="661" t="s">
        <v>3</v>
      </c>
      <c r="D94" s="19" t="s">
        <v>53</v>
      </c>
      <c r="E94" s="189" t="s">
        <v>120</v>
      </c>
      <c r="F94" s="189" t="s">
        <v>4</v>
      </c>
    </row>
    <row r="95" spans="1:9">
      <c r="A95" s="659"/>
      <c r="B95" s="660"/>
      <c r="C95" s="662"/>
      <c r="D95" s="20" t="s">
        <v>56</v>
      </c>
      <c r="E95" s="190">
        <f>F2</f>
        <v>2027</v>
      </c>
      <c r="F95" s="190">
        <f>F2</f>
        <v>2027</v>
      </c>
    </row>
    <row r="96" spans="1:9" ht="15">
      <c r="A96" s="186" t="s">
        <v>58</v>
      </c>
      <c r="B96" s="462" t="s">
        <v>128</v>
      </c>
      <c r="C96" s="659"/>
      <c r="D96" s="155"/>
      <c r="E96" s="206">
        <f>E97</f>
        <v>868266.25</v>
      </c>
      <c r="F96" s="206">
        <f>F97</f>
        <v>10419195</v>
      </c>
      <c r="G96" s="200" t="s">
        <v>60</v>
      </c>
    </row>
    <row r="97" spans="1:13">
      <c r="B97" s="47" t="s">
        <v>129</v>
      </c>
      <c r="C97" s="60">
        <v>1759</v>
      </c>
      <c r="D97" s="61">
        <v>547200</v>
      </c>
      <c r="E97" s="25">
        <f>F97/12</f>
        <v>868266.25</v>
      </c>
      <c r="F97" s="74">
        <v>10419195</v>
      </c>
      <c r="G97" s="52" t="s">
        <v>96</v>
      </c>
      <c r="H97" s="59"/>
      <c r="I97" s="59"/>
      <c r="J97" s="59"/>
      <c r="K97" s="59"/>
      <c r="L97" s="59"/>
      <c r="M97" s="59"/>
    </row>
    <row r="98" spans="1:13">
      <c r="B98" s="715" t="s">
        <v>101</v>
      </c>
      <c r="C98" s="715"/>
      <c r="D98" s="192">
        <f>D97</f>
        <v>547200</v>
      </c>
      <c r="E98" s="192">
        <f>E97</f>
        <v>868266.25</v>
      </c>
      <c r="F98" s="209">
        <f>F97</f>
        <v>10419195</v>
      </c>
      <c r="G98" s="366"/>
      <c r="H98" s="62"/>
    </row>
    <row r="99" spans="1:13">
      <c r="B99" s="63"/>
      <c r="C99" s="667">
        <v>1759</v>
      </c>
      <c r="D99" s="64"/>
      <c r="E99" s="42" t="s">
        <v>106</v>
      </c>
      <c r="F99" s="58">
        <f>F97</f>
        <v>10419195</v>
      </c>
    </row>
    <row r="100" spans="1:13">
      <c r="B100" s="63"/>
      <c r="C100" s="667"/>
      <c r="D100" s="64"/>
      <c r="E100" s="44" t="s">
        <v>107</v>
      </c>
      <c r="F100" s="58">
        <v>0</v>
      </c>
      <c r="G100" s="170">
        <f>F99+F100</f>
        <v>10419195</v>
      </c>
      <c r="H100" s="162"/>
    </row>
    <row r="101" spans="1:13">
      <c r="B101" s="18"/>
      <c r="C101" s="16"/>
      <c r="D101" s="16"/>
      <c r="E101" s="41"/>
      <c r="F101" s="12"/>
    </row>
    <row r="102" spans="1:13">
      <c r="B102" s="18"/>
      <c r="C102" s="16"/>
      <c r="D102" s="16"/>
      <c r="E102" s="41"/>
      <c r="F102" s="12"/>
    </row>
    <row r="103" spans="1:13">
      <c r="A103" s="657" t="s">
        <v>52</v>
      </c>
      <c r="B103" s="658"/>
      <c r="C103" s="661" t="s">
        <v>3</v>
      </c>
      <c r="D103" s="19" t="s">
        <v>53</v>
      </c>
      <c r="E103" s="189" t="s">
        <v>120</v>
      </c>
      <c r="F103" s="189" t="s">
        <v>4</v>
      </c>
    </row>
    <row r="104" spans="1:13">
      <c r="A104" s="659"/>
      <c r="B104" s="660"/>
      <c r="C104" s="662"/>
      <c r="D104" s="20" t="s">
        <v>56</v>
      </c>
      <c r="E104" s="190">
        <f>F2</f>
        <v>2027</v>
      </c>
      <c r="F104" s="190">
        <f>F2</f>
        <v>2027</v>
      </c>
    </row>
    <row r="105" spans="1:13" ht="15">
      <c r="A105" s="186" t="s">
        <v>58</v>
      </c>
      <c r="B105" s="462" t="s">
        <v>130</v>
      </c>
      <c r="C105" s="659"/>
      <c r="D105" s="155"/>
      <c r="E105" s="206">
        <f>E106</f>
        <v>4616.6666666666661</v>
      </c>
      <c r="F105" s="206">
        <f>F106</f>
        <v>55399.999999999993</v>
      </c>
      <c r="G105" s="200" t="s">
        <v>60</v>
      </c>
    </row>
    <row r="106" spans="1:13">
      <c r="B106" s="47" t="s">
        <v>131</v>
      </c>
      <c r="C106" s="65">
        <v>1760</v>
      </c>
      <c r="D106" s="61">
        <v>0</v>
      </c>
      <c r="E106" s="28">
        <f>F106/12</f>
        <v>4616.6666666666661</v>
      </c>
      <c r="F106" s="50">
        <f>52600*F3-3.58</f>
        <v>55399.999999999993</v>
      </c>
      <c r="G106" s="51" t="s">
        <v>63</v>
      </c>
      <c r="H106" s="17"/>
    </row>
    <row r="107" spans="1:13">
      <c r="B107" s="668" t="s">
        <v>132</v>
      </c>
      <c r="C107" s="668"/>
      <c r="D107" s="192">
        <f>D106</f>
        <v>0</v>
      </c>
      <c r="E107" s="210">
        <f>E106</f>
        <v>4616.6666666666661</v>
      </c>
      <c r="F107" s="211">
        <f>F106</f>
        <v>55399.999999999993</v>
      </c>
      <c r="G107" s="363"/>
      <c r="H107" s="33"/>
    </row>
    <row r="108" spans="1:13">
      <c r="B108" s="18"/>
      <c r="C108" s="1">
        <v>1760</v>
      </c>
      <c r="D108" s="16"/>
      <c r="E108" s="44" t="s">
        <v>108</v>
      </c>
      <c r="F108" s="58">
        <f>F106</f>
        <v>55399.999999999993</v>
      </c>
      <c r="G108" s="170">
        <f>F108</f>
        <v>55399.999999999993</v>
      </c>
      <c r="H108" s="162"/>
    </row>
    <row r="109" spans="1:13">
      <c r="B109" s="18"/>
      <c r="C109" s="16"/>
      <c r="D109" s="16"/>
      <c r="E109" s="41"/>
      <c r="F109" s="12"/>
    </row>
    <row r="110" spans="1:13">
      <c r="B110" s="18"/>
      <c r="C110" s="16"/>
      <c r="D110" s="16"/>
      <c r="E110" s="41"/>
      <c r="F110" s="12"/>
    </row>
    <row r="111" spans="1:13">
      <c r="A111" s="657" t="s">
        <v>52</v>
      </c>
      <c r="B111" s="658"/>
      <c r="C111" s="661" t="s">
        <v>3</v>
      </c>
      <c r="D111" s="19" t="s">
        <v>53</v>
      </c>
      <c r="E111" s="189" t="s">
        <v>120</v>
      </c>
      <c r="F111" s="189" t="s">
        <v>4</v>
      </c>
    </row>
    <row r="112" spans="1:13">
      <c r="A112" s="659"/>
      <c r="B112" s="660"/>
      <c r="C112" s="662"/>
      <c r="D112" s="20" t="s">
        <v>56</v>
      </c>
      <c r="E112" s="190">
        <f>F2</f>
        <v>2027</v>
      </c>
      <c r="F112" s="190">
        <f>F2</f>
        <v>2027</v>
      </c>
    </row>
    <row r="113" spans="1:18" ht="15">
      <c r="A113" s="186" t="s">
        <v>58</v>
      </c>
      <c r="B113" s="462" t="s">
        <v>133</v>
      </c>
      <c r="C113" s="659"/>
      <c r="D113" s="155"/>
      <c r="E113" s="206">
        <f>E114</f>
        <v>4616.6666666666661</v>
      </c>
      <c r="F113" s="206">
        <f>F114</f>
        <v>55399.999999999993</v>
      </c>
      <c r="G113" s="200" t="s">
        <v>60</v>
      </c>
    </row>
    <row r="114" spans="1:18">
      <c r="B114" s="66" t="s">
        <v>131</v>
      </c>
      <c r="C114" s="65">
        <v>1760</v>
      </c>
      <c r="D114" s="61">
        <v>0</v>
      </c>
      <c r="E114" s="28">
        <f>F114/12</f>
        <v>4616.6666666666661</v>
      </c>
      <c r="F114" s="50">
        <f>52600*F3-3.58</f>
        <v>55399.999999999993</v>
      </c>
      <c r="G114" s="51" t="s">
        <v>63</v>
      </c>
      <c r="H114" s="17"/>
      <c r="I114" s="12"/>
    </row>
    <row r="115" spans="1:18">
      <c r="B115" s="668" t="s">
        <v>105</v>
      </c>
      <c r="C115" s="668"/>
      <c r="D115" s="192">
        <f>D114</f>
        <v>0</v>
      </c>
      <c r="E115" s="210">
        <f>E114</f>
        <v>4616.6666666666661</v>
      </c>
      <c r="F115" s="211">
        <f>F114</f>
        <v>55399.999999999993</v>
      </c>
      <c r="G115" s="363"/>
      <c r="H115" s="33"/>
    </row>
    <row r="116" spans="1:18">
      <c r="B116" s="18"/>
      <c r="C116" s="1">
        <v>1760</v>
      </c>
      <c r="D116" s="16"/>
      <c r="E116" s="44" t="s">
        <v>108</v>
      </c>
      <c r="F116" s="58">
        <f>F114</f>
        <v>55399.999999999993</v>
      </c>
      <c r="G116" s="170">
        <f>F116</f>
        <v>55399.999999999993</v>
      </c>
      <c r="H116" s="162"/>
    </row>
    <row r="117" spans="1:18">
      <c r="B117" s="18"/>
      <c r="C117" s="16"/>
      <c r="D117" s="16"/>
      <c r="E117" s="41"/>
      <c r="F117" s="12"/>
    </row>
    <row r="118" spans="1:18">
      <c r="B118" s="18"/>
      <c r="C118" s="16"/>
      <c r="D118" s="16"/>
      <c r="E118" s="41"/>
      <c r="F118" s="12"/>
    </row>
    <row r="119" spans="1:18">
      <c r="A119" s="657" t="s">
        <v>52</v>
      </c>
      <c r="B119" s="658"/>
      <c r="C119" s="661" t="s">
        <v>3</v>
      </c>
      <c r="D119" s="19" t="s">
        <v>53</v>
      </c>
      <c r="E119" s="189" t="s">
        <v>120</v>
      </c>
      <c r="F119" s="189" t="s">
        <v>4</v>
      </c>
      <c r="H119" s="17"/>
    </row>
    <row r="120" spans="1:18">
      <c r="A120" s="659"/>
      <c r="B120" s="660"/>
      <c r="C120" s="662"/>
      <c r="D120" s="20" t="s">
        <v>56</v>
      </c>
      <c r="E120" s="190">
        <f>F2</f>
        <v>2027</v>
      </c>
      <c r="F120" s="190">
        <f>F2</f>
        <v>2027</v>
      </c>
      <c r="H120" s="33"/>
      <c r="I120" s="67"/>
    </row>
    <row r="121" spans="1:18" ht="15">
      <c r="A121" s="186" t="s">
        <v>58</v>
      </c>
      <c r="B121" s="462" t="s">
        <v>134</v>
      </c>
      <c r="C121" s="659"/>
      <c r="D121" s="155"/>
      <c r="E121" s="206">
        <f>E122</f>
        <v>83333.333333333328</v>
      </c>
      <c r="F121" s="206">
        <f>F122</f>
        <v>1000000</v>
      </c>
      <c r="G121" s="200" t="s">
        <v>60</v>
      </c>
      <c r="H121" s="12"/>
      <c r="I121" s="67"/>
    </row>
    <row r="122" spans="1:18">
      <c r="B122" s="47" t="s">
        <v>135</v>
      </c>
      <c r="C122" s="65">
        <v>1760</v>
      </c>
      <c r="D122" s="68">
        <v>0</v>
      </c>
      <c r="E122" s="28">
        <f>F122/12</f>
        <v>83333.333333333328</v>
      </c>
      <c r="F122" s="28">
        <v>1000000</v>
      </c>
      <c r="G122" s="51" t="s">
        <v>63</v>
      </c>
      <c r="H122" s="12"/>
      <c r="I122" s="12"/>
      <c r="J122" s="12"/>
    </row>
    <row r="123" spans="1:18">
      <c r="B123" s="668" t="s">
        <v>136</v>
      </c>
      <c r="C123" s="668"/>
      <c r="D123" s="192">
        <f>D122</f>
        <v>0</v>
      </c>
      <c r="E123" s="210">
        <f>E122</f>
        <v>83333.333333333328</v>
      </c>
      <c r="F123" s="211">
        <f>F122</f>
        <v>1000000</v>
      </c>
      <c r="G123" s="361"/>
    </row>
    <row r="124" spans="1:18" s="72" customFormat="1">
      <c r="A124" s="6"/>
      <c r="B124" s="69"/>
      <c r="C124" s="667">
        <v>1760</v>
      </c>
      <c r="D124" s="70"/>
      <c r="E124" s="42" t="s">
        <v>106</v>
      </c>
      <c r="F124" s="71">
        <v>0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s="72" customFormat="1">
      <c r="A125" s="6"/>
      <c r="B125" s="69"/>
      <c r="C125" s="667"/>
      <c r="D125" s="70"/>
      <c r="E125" s="44" t="s">
        <v>107</v>
      </c>
      <c r="F125" s="71">
        <f>F122</f>
        <v>1000000</v>
      </c>
      <c r="G125" s="170">
        <f>F124+F125</f>
        <v>1000000</v>
      </c>
      <c r="H125" s="162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s="72" customFormat="1">
      <c r="A126" s="6"/>
      <c r="B126" s="69"/>
      <c r="C126" s="69"/>
      <c r="D126" s="70"/>
      <c r="E126" s="70"/>
      <c r="F126" s="70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s="72" customFormat="1">
      <c r="A127" s="657" t="s">
        <v>52</v>
      </c>
      <c r="B127" s="658"/>
      <c r="C127" s="661" t="s">
        <v>3</v>
      </c>
      <c r="D127" s="19" t="s">
        <v>53</v>
      </c>
      <c r="E127" s="189" t="s">
        <v>120</v>
      </c>
      <c r="F127" s="189" t="s">
        <v>4</v>
      </c>
      <c r="G127" s="6"/>
      <c r="H127" s="17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s="72" customFormat="1">
      <c r="A128" s="659"/>
      <c r="B128" s="660"/>
      <c r="C128" s="662"/>
      <c r="D128" s="20" t="s">
        <v>56</v>
      </c>
      <c r="E128" s="190">
        <f>F11</f>
        <v>420000</v>
      </c>
      <c r="F128" s="190">
        <f>F11</f>
        <v>420000</v>
      </c>
      <c r="G128" s="6"/>
      <c r="H128" s="33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s="72" customFormat="1" ht="15">
      <c r="A129" s="186" t="s">
        <v>109</v>
      </c>
      <c r="B129" s="464" t="s">
        <v>137</v>
      </c>
      <c r="C129" s="659"/>
      <c r="D129" s="155"/>
      <c r="E129" s="206">
        <f>E134+E135</f>
        <v>774979.16666666663</v>
      </c>
      <c r="F129" s="206">
        <f>F134+F135</f>
        <v>9299750</v>
      </c>
      <c r="G129" s="200" t="s">
        <v>60</v>
      </c>
      <c r="H129" s="12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s="72" customFormat="1">
      <c r="A130" s="6"/>
      <c r="B130" s="703" t="s">
        <v>135</v>
      </c>
      <c r="C130" s="249" t="s">
        <v>81</v>
      </c>
      <c r="D130" s="24">
        <v>0</v>
      </c>
      <c r="E130" s="25">
        <f>E133</f>
        <v>43887.5</v>
      </c>
      <c r="F130" s="157">
        <f>F133</f>
        <v>526650</v>
      </c>
      <c r="G130" s="51" t="s">
        <v>63</v>
      </c>
      <c r="H130" s="12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s="72" customFormat="1">
      <c r="A131" s="6"/>
      <c r="B131" s="721"/>
      <c r="C131" s="458" t="s">
        <v>122</v>
      </c>
      <c r="D131" s="27"/>
      <c r="E131" s="30">
        <f>E132</f>
        <v>731091.66666666663</v>
      </c>
      <c r="F131" s="251">
        <f>F132</f>
        <v>8773100</v>
      </c>
      <c r="G131" s="51" t="s">
        <v>63</v>
      </c>
      <c r="H131" s="12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s="72" customFormat="1">
      <c r="A132" s="6"/>
      <c r="B132" s="264" t="s">
        <v>138</v>
      </c>
      <c r="C132" s="729"/>
      <c r="D132" s="68"/>
      <c r="E132" s="154">
        <f>F132/12</f>
        <v>731091.66666666663</v>
      </c>
      <c r="F132" s="158">
        <f>(7000000*F3-1000)+1820000+300000+280000-999000</f>
        <v>8773100</v>
      </c>
      <c r="G132" s="225"/>
      <c r="H132" s="12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s="72" customFormat="1">
      <c r="A133" s="6"/>
      <c r="B133" s="268" t="s">
        <v>139</v>
      </c>
      <c r="C133" s="730"/>
      <c r="D133" s="27"/>
      <c r="E133" s="154">
        <f>F133/12</f>
        <v>43887.5</v>
      </c>
      <c r="F133" s="481">
        <v>526650</v>
      </c>
      <c r="G133" s="225"/>
      <c r="H133" s="12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s="72" customFormat="1">
      <c r="A134" s="6"/>
      <c r="B134" s="684" t="s">
        <v>101</v>
      </c>
      <c r="C134" s="722"/>
      <c r="D134" s="194" t="e">
        <f>#REF!+D107+D111+#REF!+D117+#REF!+D125+#REF!+D130+#REF!+#REF!</f>
        <v>#REF!</v>
      </c>
      <c r="E134" s="194">
        <f>E130</f>
        <v>43887.5</v>
      </c>
      <c r="F134" s="194">
        <f>F130</f>
        <v>526650</v>
      </c>
      <c r="G134" s="225"/>
      <c r="H134" s="12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s="72" customFormat="1">
      <c r="A135" s="6"/>
      <c r="B135" s="686" t="s">
        <v>102</v>
      </c>
      <c r="C135" s="686"/>
      <c r="D135" s="386" t="e">
        <f>#REF!+D108+D112+#REF!+D118+#REF!+D126+#REF!+D131+#REF!+#REF!</f>
        <v>#REF!</v>
      </c>
      <c r="E135" s="195">
        <f>E131</f>
        <v>731091.66666666663</v>
      </c>
      <c r="F135" s="195">
        <f>F131</f>
        <v>8773100</v>
      </c>
      <c r="G135" s="361"/>
      <c r="H135" s="12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s="72" customFormat="1">
      <c r="A136" s="6"/>
      <c r="B136" s="78"/>
      <c r="C136" s="689">
        <v>1759</v>
      </c>
      <c r="D136" s="80"/>
      <c r="E136" s="42" t="s">
        <v>106</v>
      </c>
      <c r="F136" s="71">
        <v>0</v>
      </c>
      <c r="G136" s="6"/>
      <c r="H136" s="12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s="72" customFormat="1">
      <c r="A137" s="6"/>
      <c r="B137" s="78"/>
      <c r="C137" s="667"/>
      <c r="D137" s="80"/>
      <c r="E137" s="44" t="s">
        <v>107</v>
      </c>
      <c r="F137" s="71">
        <f>F130</f>
        <v>526650</v>
      </c>
      <c r="G137" s="170">
        <f>F137+F136</f>
        <v>526650</v>
      </c>
      <c r="H137" s="162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s="72" customFormat="1">
      <c r="A138" s="6"/>
      <c r="B138" s="69"/>
      <c r="C138" s="689">
        <v>1760</v>
      </c>
      <c r="D138" s="70"/>
      <c r="E138" s="42" t="s">
        <v>106</v>
      </c>
      <c r="F138" s="71">
        <v>0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s="72" customFormat="1">
      <c r="A139" s="6"/>
      <c r="B139" s="69"/>
      <c r="C139" s="667"/>
      <c r="D139" s="70"/>
      <c r="E139" s="44" t="s">
        <v>107</v>
      </c>
      <c r="F139" s="71">
        <f>F131</f>
        <v>8773100</v>
      </c>
      <c r="G139" s="170">
        <f>F138+F139</f>
        <v>8773100</v>
      </c>
      <c r="H139" s="162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s="72" customFormat="1">
      <c r="A140" s="6"/>
      <c r="B140" s="69"/>
      <c r="C140" s="69"/>
      <c r="D140" s="70"/>
      <c r="E140" s="70"/>
      <c r="F140" s="70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s="72" customFormat="1">
      <c r="A141" s="657" t="s">
        <v>52</v>
      </c>
      <c r="B141" s="658"/>
      <c r="C141" s="661" t="s">
        <v>3</v>
      </c>
      <c r="D141" s="19" t="s">
        <v>53</v>
      </c>
      <c r="E141" s="189" t="s">
        <v>120</v>
      </c>
      <c r="F141" s="189" t="s">
        <v>4</v>
      </c>
      <c r="G141" s="153"/>
      <c r="H141" s="17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s="72" customFormat="1">
      <c r="A142" s="659"/>
      <c r="B142" s="660"/>
      <c r="C142" s="662"/>
      <c r="D142" s="20" t="s">
        <v>56</v>
      </c>
      <c r="E142" s="190">
        <f>F19</f>
        <v>49505</v>
      </c>
      <c r="F142" s="190">
        <f>F19</f>
        <v>49505</v>
      </c>
      <c r="G142" s="6"/>
      <c r="H142" s="33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s="72" customFormat="1" ht="15">
      <c r="A143" s="186" t="s">
        <v>109</v>
      </c>
      <c r="B143" s="463" t="s">
        <v>140</v>
      </c>
      <c r="C143" s="659"/>
      <c r="D143" s="155"/>
      <c r="E143" s="206">
        <f>E144</f>
        <v>1641521.75</v>
      </c>
      <c r="F143" s="206">
        <f>F144</f>
        <v>19698261</v>
      </c>
      <c r="G143" s="200"/>
      <c r="H143" s="12" t="s">
        <v>141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s="72" customFormat="1">
      <c r="A144" s="6"/>
      <c r="B144" s="55" t="s">
        <v>135</v>
      </c>
      <c r="C144" s="65">
        <v>1760</v>
      </c>
      <c r="D144" s="68">
        <v>0</v>
      </c>
      <c r="E144" s="28">
        <f>E145+E146</f>
        <v>1641521.75</v>
      </c>
      <c r="F144" s="28">
        <f>F145+F146</f>
        <v>19698261</v>
      </c>
      <c r="G144" s="51" t="s">
        <v>63</v>
      </c>
      <c r="H144" s="12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s="72" customFormat="1">
      <c r="A145" s="6"/>
      <c r="B145" s="264" t="s">
        <v>142</v>
      </c>
      <c r="C145" s="729"/>
      <c r="D145" s="68"/>
      <c r="E145" s="154">
        <f>F145/12</f>
        <v>224855.08333333334</v>
      </c>
      <c r="F145" s="158">
        <v>2698261</v>
      </c>
      <c r="G145" s="225"/>
      <c r="H145" s="12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s="72" customFormat="1">
      <c r="A146" s="6"/>
      <c r="B146" s="264" t="s">
        <v>143</v>
      </c>
      <c r="C146" s="731"/>
      <c r="D146" s="27"/>
      <c r="E146" s="154">
        <f>F146/12</f>
        <v>1416666.6666666667</v>
      </c>
      <c r="F146" s="158">
        <v>17000000</v>
      </c>
      <c r="G146" s="225"/>
      <c r="H146" s="12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s="72" customFormat="1">
      <c r="A147" s="6"/>
      <c r="B147" s="668" t="s">
        <v>136</v>
      </c>
      <c r="C147" s="668"/>
      <c r="D147" s="192">
        <f>D144</f>
        <v>0</v>
      </c>
      <c r="E147" s="210">
        <f>E144</f>
        <v>1641521.75</v>
      </c>
      <c r="F147" s="211">
        <f>F144</f>
        <v>19698261</v>
      </c>
      <c r="G147" s="361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s="72" customFormat="1">
      <c r="A148" s="6"/>
      <c r="B148" s="69"/>
      <c r="C148" s="667">
        <v>1760</v>
      </c>
      <c r="D148" s="70"/>
      <c r="E148" s="42" t="s">
        <v>106</v>
      </c>
      <c r="F148" s="71">
        <v>0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s="72" customFormat="1">
      <c r="A149" s="6"/>
      <c r="B149" s="69"/>
      <c r="C149" s="667"/>
      <c r="D149" s="70"/>
      <c r="E149" s="44" t="s">
        <v>107</v>
      </c>
      <c r="F149" s="71">
        <f>F144</f>
        <v>19698261</v>
      </c>
      <c r="G149" s="170">
        <f>F148+F149</f>
        <v>19698261</v>
      </c>
      <c r="H149" s="162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s="72" customFormat="1">
      <c r="A150" s="6"/>
      <c r="B150" s="69"/>
      <c r="C150" s="69"/>
      <c r="D150" s="70"/>
      <c r="E150" s="70"/>
      <c r="F150" s="70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72" customFormat="1">
      <c r="A151" s="657" t="s">
        <v>52</v>
      </c>
      <c r="B151" s="658"/>
      <c r="C151" s="661" t="s">
        <v>3</v>
      </c>
      <c r="D151" s="19" t="s">
        <v>53</v>
      </c>
      <c r="E151" s="189" t="s">
        <v>120</v>
      </c>
      <c r="F151" s="189" t="s">
        <v>4</v>
      </c>
      <c r="G151" s="6"/>
      <c r="H151" s="17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s="72" customFormat="1">
      <c r="A152" s="659"/>
      <c r="B152" s="660"/>
      <c r="C152" s="662"/>
      <c r="D152" s="20" t="s">
        <v>56</v>
      </c>
      <c r="E152" s="190">
        <f>F2</f>
        <v>2027</v>
      </c>
      <c r="F152" s="190">
        <f>F2</f>
        <v>2027</v>
      </c>
      <c r="G152" s="6"/>
      <c r="H152" s="33"/>
      <c r="I152" s="67"/>
      <c r="J152" s="6"/>
      <c r="K152" s="6"/>
      <c r="L152" s="6"/>
      <c r="M152" s="6"/>
      <c r="N152" s="6"/>
      <c r="O152" s="6"/>
      <c r="P152" s="6"/>
      <c r="Q152" s="6"/>
      <c r="R152" s="6"/>
    </row>
    <row r="153" spans="1:18" s="72" customFormat="1" ht="15">
      <c r="A153" s="186" t="s">
        <v>144</v>
      </c>
      <c r="B153" s="464" t="s">
        <v>145</v>
      </c>
      <c r="C153" s="659"/>
      <c r="D153" s="155"/>
      <c r="E153" s="206">
        <f>E154</f>
        <v>83333.333333333328</v>
      </c>
      <c r="F153" s="206">
        <f>F154</f>
        <v>1000000</v>
      </c>
      <c r="G153" s="200" t="s">
        <v>60</v>
      </c>
      <c r="H153" s="12"/>
      <c r="I153" s="12"/>
      <c r="J153" s="12"/>
      <c r="K153" s="6"/>
      <c r="L153" s="6"/>
      <c r="M153" s="6"/>
      <c r="N153" s="6"/>
      <c r="O153" s="6"/>
      <c r="P153" s="6"/>
      <c r="Q153" s="6"/>
      <c r="R153" s="6"/>
    </row>
    <row r="154" spans="1:18" s="72" customFormat="1">
      <c r="A154" s="6"/>
      <c r="B154" s="482" t="s">
        <v>146</v>
      </c>
      <c r="C154" s="263">
        <v>1760</v>
      </c>
      <c r="D154" s="68">
        <v>45800</v>
      </c>
      <c r="E154" s="28">
        <f>E155+E156+E157</f>
        <v>83333.333333333328</v>
      </c>
      <c r="F154" s="28">
        <f>F155+F156+F157</f>
        <v>1000000</v>
      </c>
      <c r="G154" s="51" t="s">
        <v>63</v>
      </c>
      <c r="H154" s="687"/>
      <c r="I154" s="687"/>
      <c r="J154" s="687"/>
      <c r="K154" s="6"/>
      <c r="L154" s="6"/>
      <c r="M154" s="6"/>
      <c r="N154" s="6"/>
      <c r="O154" s="6"/>
      <c r="P154" s="6"/>
      <c r="Q154" s="6"/>
      <c r="R154" s="6"/>
    </row>
    <row r="155" spans="1:18" s="72" customFormat="1">
      <c r="A155" s="6"/>
      <c r="B155" s="262" t="s">
        <v>147</v>
      </c>
      <c r="C155" s="673"/>
      <c r="D155" s="227"/>
      <c r="E155" s="154">
        <f>F155/12</f>
        <v>0</v>
      </c>
      <c r="F155" s="154">
        <v>0</v>
      </c>
      <c r="G155" s="225"/>
      <c r="H155" s="176"/>
      <c r="I155" s="176"/>
      <c r="J155" s="176"/>
      <c r="K155" s="6"/>
      <c r="L155" s="6"/>
      <c r="M155" s="6"/>
      <c r="N155" s="6"/>
      <c r="O155" s="6"/>
      <c r="P155" s="6"/>
      <c r="Q155" s="6"/>
      <c r="R155" s="6"/>
    </row>
    <row r="156" spans="1:18" s="72" customFormat="1">
      <c r="A156" s="6"/>
      <c r="B156" s="262" t="s">
        <v>148</v>
      </c>
      <c r="C156" s="674"/>
      <c r="D156" s="227"/>
      <c r="E156" s="154">
        <f>F156/12</f>
        <v>41666.666666666664</v>
      </c>
      <c r="F156" s="154">
        <v>500000</v>
      </c>
      <c r="G156" s="226" t="s">
        <v>149</v>
      </c>
      <c r="H156" s="176"/>
      <c r="I156" s="176"/>
      <c r="J156" s="176"/>
      <c r="K156" s="6"/>
      <c r="L156" s="6"/>
      <c r="M156" s="6"/>
      <c r="N156" s="6"/>
      <c r="O156" s="6"/>
      <c r="P156" s="6"/>
      <c r="Q156" s="6"/>
      <c r="R156" s="6"/>
    </row>
    <row r="157" spans="1:18" s="72" customFormat="1">
      <c r="A157" s="6"/>
      <c r="B157" s="383" t="s">
        <v>150</v>
      </c>
      <c r="C157" s="675"/>
      <c r="D157" s="227"/>
      <c r="E157" s="154">
        <f>F157/12</f>
        <v>41666.666666666664</v>
      </c>
      <c r="F157" s="154">
        <v>500000</v>
      </c>
      <c r="G157" s="226" t="s">
        <v>151</v>
      </c>
      <c r="H157" s="176"/>
      <c r="I157" s="176"/>
      <c r="J157" s="176"/>
      <c r="K157" s="6"/>
      <c r="L157" s="6"/>
      <c r="M157" s="6"/>
      <c r="N157" s="6"/>
      <c r="O157" s="6"/>
      <c r="P157" s="6"/>
      <c r="Q157" s="6"/>
      <c r="R157" s="6"/>
    </row>
    <row r="158" spans="1:18" s="72" customFormat="1">
      <c r="A158" s="6"/>
      <c r="B158" s="668" t="s">
        <v>105</v>
      </c>
      <c r="C158" s="669"/>
      <c r="D158" s="192">
        <f>D154</f>
        <v>45800</v>
      </c>
      <c r="E158" s="210">
        <f>E154</f>
        <v>83333.333333333328</v>
      </c>
      <c r="F158" s="211">
        <f>F154</f>
        <v>1000000</v>
      </c>
      <c r="G158" s="367"/>
      <c r="H158" s="13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s="72" customFormat="1">
      <c r="A159" s="6"/>
      <c r="B159" s="69"/>
      <c r="C159" s="73">
        <v>1760</v>
      </c>
      <c r="D159" s="70"/>
      <c r="E159" s="44" t="s">
        <v>108</v>
      </c>
      <c r="F159" s="71">
        <f>F154</f>
        <v>1000000</v>
      </c>
      <c r="G159" s="170">
        <f>F159</f>
        <v>1000000</v>
      </c>
      <c r="H159" s="162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s="72" customFormat="1">
      <c r="A160" s="6"/>
      <c r="B160" s="69"/>
      <c r="C160" s="69"/>
      <c r="D160" s="70"/>
      <c r="E160" s="70"/>
      <c r="F160" s="70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s="72" customFormat="1">
      <c r="A161" s="657" t="s">
        <v>52</v>
      </c>
      <c r="B161" s="658"/>
      <c r="C161" s="661" t="s">
        <v>3</v>
      </c>
      <c r="D161" s="19" t="s">
        <v>53</v>
      </c>
      <c r="E161" s="189" t="s">
        <v>120</v>
      </c>
      <c r="F161" s="189" t="s">
        <v>4</v>
      </c>
      <c r="G161" s="153"/>
      <c r="H161" s="153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>
      <c r="A162" s="659"/>
      <c r="B162" s="660"/>
      <c r="C162" s="662"/>
      <c r="D162" s="20" t="s">
        <v>56</v>
      </c>
      <c r="E162" s="190">
        <f>F2</f>
        <v>2027</v>
      </c>
      <c r="F162" s="190">
        <f>F2</f>
        <v>2027</v>
      </c>
      <c r="H162" s="153"/>
    </row>
    <row r="163" spans="1:18" ht="15">
      <c r="A163" s="186" t="s">
        <v>109</v>
      </c>
      <c r="B163" s="462" t="s">
        <v>152</v>
      </c>
      <c r="C163" s="659"/>
      <c r="D163" s="155"/>
      <c r="E163" s="206">
        <f>E191+E192+E195+E196</f>
        <v>2770388.2501666662</v>
      </c>
      <c r="F163" s="206">
        <f>F191+F192+F195+F196</f>
        <v>33244659.002</v>
      </c>
      <c r="G163" s="200" t="s">
        <v>60</v>
      </c>
      <c r="H163" s="12"/>
      <c r="I163" s="12"/>
      <c r="J163" s="12"/>
    </row>
    <row r="164" spans="1:18" ht="15">
      <c r="A164" s="394"/>
      <c r="B164" s="670" t="s">
        <v>153</v>
      </c>
      <c r="C164" s="23">
        <v>1759</v>
      </c>
      <c r="D164" s="24"/>
      <c r="E164" s="25">
        <f>F164/12</f>
        <v>0</v>
      </c>
      <c r="F164" s="24">
        <v>0</v>
      </c>
      <c r="G164" s="51" t="s">
        <v>63</v>
      </c>
      <c r="H164" s="12"/>
      <c r="I164" s="12"/>
    </row>
    <row r="165" spans="1:18" ht="15">
      <c r="A165" s="394"/>
      <c r="B165" s="670"/>
      <c r="C165" s="36">
        <v>1760</v>
      </c>
      <c r="D165" s="37"/>
      <c r="E165" s="254">
        <f>F165/12</f>
        <v>166666.66666666666</v>
      </c>
      <c r="F165" s="255">
        <v>2000000</v>
      </c>
      <c r="G165" s="51" t="s">
        <v>63</v>
      </c>
      <c r="H165" s="12"/>
      <c r="I165" s="12"/>
    </row>
    <row r="166" spans="1:18">
      <c r="A166" s="29"/>
      <c r="B166" s="670" t="s">
        <v>62</v>
      </c>
      <c r="C166" s="23">
        <v>1759</v>
      </c>
      <c r="D166" s="24">
        <v>110000</v>
      </c>
      <c r="E166" s="25">
        <f>E169</f>
        <v>81456.25</v>
      </c>
      <c r="F166" s="24">
        <f>E166*12</f>
        <v>977475</v>
      </c>
      <c r="G166" s="51" t="s">
        <v>63</v>
      </c>
      <c r="K166" s="12"/>
      <c r="L166" s="12"/>
    </row>
    <row r="167" spans="1:18">
      <c r="A167" s="29"/>
      <c r="B167" s="670"/>
      <c r="C167" s="36">
        <v>1760</v>
      </c>
      <c r="D167" s="37">
        <v>15000</v>
      </c>
      <c r="E167" s="254">
        <f>E168</f>
        <v>138219.16666666666</v>
      </c>
      <c r="F167" s="255">
        <f>(E167*12)</f>
        <v>1658630</v>
      </c>
      <c r="G167" s="51" t="s">
        <v>63</v>
      </c>
      <c r="I167" s="180" t="s">
        <v>45</v>
      </c>
      <c r="J167" s="181">
        <f>F168+F173+F178+F185+F188</f>
        <v>24097873.23</v>
      </c>
      <c r="K167" s="12"/>
    </row>
    <row r="168" spans="1:18">
      <c r="A168" s="29"/>
      <c r="B168" s="269" t="s">
        <v>154</v>
      </c>
      <c r="C168" s="199" t="s">
        <v>122</v>
      </c>
      <c r="D168" s="37"/>
      <c r="E168" s="166">
        <f>F168/12</f>
        <v>138219.16666666666</v>
      </c>
      <c r="F168" s="167">
        <f>(1100000*F3)+1100000-100000-500000</f>
        <v>1658630</v>
      </c>
      <c r="G168" s="51"/>
      <c r="I168" s="182" t="s">
        <v>47</v>
      </c>
      <c r="J168" s="183">
        <f>F183+F190</f>
        <v>2235796.7719999994</v>
      </c>
      <c r="K168" s="392"/>
    </row>
    <row r="169" spans="1:18">
      <c r="A169" s="29"/>
      <c r="B169" s="270" t="s">
        <v>155</v>
      </c>
      <c r="C169" s="198" t="s">
        <v>81</v>
      </c>
      <c r="D169" s="37"/>
      <c r="E169" s="166">
        <f>F169/12</f>
        <v>81456.25</v>
      </c>
      <c r="F169" s="167">
        <f>1504125-526650</f>
        <v>977475</v>
      </c>
      <c r="G169" s="51"/>
      <c r="I169" s="163" t="s">
        <v>49</v>
      </c>
      <c r="J169" s="191">
        <f>F169+F179</f>
        <v>1877475</v>
      </c>
      <c r="K169" s="6" t="s">
        <v>50</v>
      </c>
    </row>
    <row r="170" spans="1:18" ht="15" customHeight="1">
      <c r="A170" s="29"/>
      <c r="B170" s="671" t="s">
        <v>156</v>
      </c>
      <c r="C170" s="23" t="s">
        <v>81</v>
      </c>
      <c r="D170" s="24">
        <v>5</v>
      </c>
      <c r="E170" s="25">
        <f>F170/12</f>
        <v>0</v>
      </c>
      <c r="F170" s="74">
        <v>0</v>
      </c>
      <c r="G170" s="51" t="s">
        <v>63</v>
      </c>
      <c r="J170" s="212">
        <f>J167+J168+J169</f>
        <v>28211145.002</v>
      </c>
      <c r="K170" s="168"/>
    </row>
    <row r="171" spans="1:18">
      <c r="A171" s="29"/>
      <c r="B171" s="672"/>
      <c r="C171" s="26" t="s">
        <v>122</v>
      </c>
      <c r="D171" s="27"/>
      <c r="E171" s="30">
        <f>F171/12</f>
        <v>83.333333333333329</v>
      </c>
      <c r="F171" s="75">
        <v>1000</v>
      </c>
      <c r="G171" s="51" t="s">
        <v>63</v>
      </c>
      <c r="H171" s="53"/>
      <c r="J171" s="13"/>
      <c r="K171" s="64"/>
    </row>
    <row r="172" spans="1:18">
      <c r="A172" s="29"/>
      <c r="B172" s="723" t="s">
        <v>157</v>
      </c>
      <c r="C172" s="23">
        <v>1759</v>
      </c>
      <c r="D172" s="24">
        <v>0</v>
      </c>
      <c r="E172" s="25">
        <v>0</v>
      </c>
      <c r="F172" s="74">
        <v>0</v>
      </c>
      <c r="G172" s="51" t="s">
        <v>63</v>
      </c>
      <c r="H172" s="12"/>
    </row>
    <row r="173" spans="1:18">
      <c r="A173" s="29"/>
      <c r="B173" s="724"/>
      <c r="C173" s="26" t="s">
        <v>122</v>
      </c>
      <c r="D173" s="27">
        <f>110000+600000</f>
        <v>710000</v>
      </c>
      <c r="E173" s="28">
        <f>E174+E175</f>
        <v>955435.75</v>
      </c>
      <c r="F173" s="75">
        <f>E173*12</f>
        <v>11465229</v>
      </c>
      <c r="G173" s="51" t="s">
        <v>63</v>
      </c>
      <c r="H173" s="12"/>
      <c r="I173" s="153"/>
      <c r="J173" s="153"/>
      <c r="K173" s="64"/>
    </row>
    <row r="174" spans="1:18">
      <c r="A174" s="29"/>
      <c r="B174" s="267" t="s">
        <v>158</v>
      </c>
      <c r="C174" s="727" t="s">
        <v>122</v>
      </c>
      <c r="D174" s="27"/>
      <c r="E174" s="154">
        <f>F174/12</f>
        <v>746660</v>
      </c>
      <c r="F174" s="165">
        <f>14800000*60.54%</f>
        <v>8959920</v>
      </c>
      <c r="G174" s="51"/>
      <c r="H174" s="12"/>
      <c r="J174" s="12"/>
      <c r="K174" s="164"/>
    </row>
    <row r="175" spans="1:18">
      <c r="A175" s="29"/>
      <c r="B175" s="268" t="s">
        <v>159</v>
      </c>
      <c r="C175" s="728"/>
      <c r="D175" s="27"/>
      <c r="E175" s="154">
        <f>F175/12</f>
        <v>208775.75</v>
      </c>
      <c r="F175" s="165">
        <f>2505308.4+0.6</f>
        <v>2505309</v>
      </c>
      <c r="G175" s="51"/>
      <c r="H175" s="12" t="s">
        <v>160</v>
      </c>
      <c r="J175" s="12"/>
      <c r="K175" s="164"/>
    </row>
    <row r="176" spans="1:18">
      <c r="A176" s="29"/>
      <c r="B176" s="692" t="s">
        <v>80</v>
      </c>
      <c r="C176" s="23" t="s">
        <v>81</v>
      </c>
      <c r="D176" s="24">
        <v>3000</v>
      </c>
      <c r="E176" s="25">
        <f>E179+E181</f>
        <v>171698.5</v>
      </c>
      <c r="F176" s="74">
        <f>E176*12</f>
        <v>2060382</v>
      </c>
      <c r="G176" s="51" t="s">
        <v>63</v>
      </c>
      <c r="H176" s="13"/>
    </row>
    <row r="177" spans="1:15">
      <c r="A177" s="29"/>
      <c r="B177" s="670"/>
      <c r="C177" s="26">
        <v>1760</v>
      </c>
      <c r="D177" s="27">
        <v>550000</v>
      </c>
      <c r="E177" s="28">
        <f>E178+E182+E180+E183</f>
        <v>915917.25</v>
      </c>
      <c r="F177" s="75">
        <f>E177*12</f>
        <v>10991007</v>
      </c>
      <c r="G177" s="51" t="s">
        <v>63</v>
      </c>
      <c r="H177" s="6" t="s">
        <v>161</v>
      </c>
      <c r="J177" s="388"/>
    </row>
    <row r="178" spans="1:15">
      <c r="A178" s="29"/>
      <c r="B178" s="269" t="s">
        <v>138</v>
      </c>
      <c r="C178" s="199" t="s">
        <v>122</v>
      </c>
      <c r="D178" s="27"/>
      <c r="E178" s="154">
        <f t="shared" ref="E178:E183" si="0">F178/12</f>
        <v>755881.26916666667</v>
      </c>
      <c r="F178" s="165">
        <f>7000000+5186195.23+4380-1000000-1820000-300000</f>
        <v>9070575.2300000004</v>
      </c>
      <c r="G178" s="51"/>
      <c r="J178" s="12"/>
    </row>
    <row r="179" spans="1:15">
      <c r="A179" s="29"/>
      <c r="B179" s="271" t="s">
        <v>162</v>
      </c>
      <c r="C179" s="377" t="s">
        <v>81</v>
      </c>
      <c r="D179" s="27"/>
      <c r="E179" s="154">
        <f t="shared" si="0"/>
        <v>75000</v>
      </c>
      <c r="F179" s="165">
        <v>900000</v>
      </c>
      <c r="G179" s="51"/>
      <c r="H179" s="12"/>
    </row>
    <row r="180" spans="1:15">
      <c r="A180" s="29"/>
      <c r="B180" s="726" t="s">
        <v>142</v>
      </c>
      <c r="C180" s="376" t="s">
        <v>122</v>
      </c>
      <c r="D180" s="27"/>
      <c r="E180" s="154">
        <f t="shared" si="0"/>
        <v>148409.5</v>
      </c>
      <c r="F180" s="165">
        <v>1780914</v>
      </c>
      <c r="G180" s="224" t="s">
        <v>163</v>
      </c>
      <c r="H180" s="12"/>
      <c r="K180" s="12"/>
      <c r="L180" s="153"/>
    </row>
    <row r="181" spans="1:15">
      <c r="A181" s="29"/>
      <c r="B181" s="726"/>
      <c r="C181" s="377" t="s">
        <v>81</v>
      </c>
      <c r="D181" s="27"/>
      <c r="E181" s="154">
        <f t="shared" si="0"/>
        <v>96698.5</v>
      </c>
      <c r="F181" s="165">
        <f>1191600-F182</f>
        <v>1160382</v>
      </c>
      <c r="G181" s="725" t="s">
        <v>151</v>
      </c>
      <c r="K181" s="12"/>
      <c r="L181" s="12"/>
    </row>
    <row r="182" spans="1:15">
      <c r="A182" s="29"/>
      <c r="B182" s="726"/>
      <c r="C182" s="376" t="s">
        <v>122</v>
      </c>
      <c r="D182" s="27"/>
      <c r="E182" s="154">
        <f t="shared" si="0"/>
        <v>2601.5</v>
      </c>
      <c r="F182" s="165">
        <v>31218</v>
      </c>
      <c r="G182" s="725"/>
      <c r="J182" s="12"/>
      <c r="K182" s="12"/>
    </row>
    <row r="183" spans="1:15">
      <c r="A183" s="29"/>
      <c r="B183" s="266" t="s">
        <v>164</v>
      </c>
      <c r="C183" s="376" t="s">
        <v>122</v>
      </c>
      <c r="D183" s="27"/>
      <c r="E183" s="154">
        <f t="shared" si="0"/>
        <v>9024.9808333333331</v>
      </c>
      <c r="F183" s="165">
        <f>(63000*F3)+63000-21058-0.13</f>
        <v>108299.76999999999</v>
      </c>
      <c r="G183" s="51"/>
      <c r="H183" s="12"/>
      <c r="K183" s="12"/>
    </row>
    <row r="184" spans="1:15" ht="12.75" customHeight="1">
      <c r="A184" s="29"/>
      <c r="B184" s="705" t="s">
        <v>89</v>
      </c>
      <c r="C184" s="23">
        <v>1759</v>
      </c>
      <c r="D184" s="24">
        <v>0</v>
      </c>
      <c r="E184" s="25">
        <v>0</v>
      </c>
      <c r="F184" s="74">
        <v>0</v>
      </c>
      <c r="G184" s="51" t="s">
        <v>63</v>
      </c>
      <c r="H184" s="13" t="s">
        <v>165</v>
      </c>
      <c r="I184" s="12"/>
    </row>
    <row r="185" spans="1:15">
      <c r="A185" s="29"/>
      <c r="B185" s="706"/>
      <c r="C185" s="26">
        <v>1760</v>
      </c>
      <c r="D185" s="27">
        <v>20000</v>
      </c>
      <c r="E185" s="28">
        <f>F185/12</f>
        <v>41066</v>
      </c>
      <c r="F185" s="75">
        <f>(240000*F3)+240000</f>
        <v>492792</v>
      </c>
      <c r="G185" s="51" t="s">
        <v>63</v>
      </c>
      <c r="H185" s="12" t="s">
        <v>166</v>
      </c>
      <c r="I185" s="12">
        <f>F168</f>
        <v>1658630</v>
      </c>
      <c r="J185" s="12"/>
    </row>
    <row r="186" spans="1:15">
      <c r="A186" s="29"/>
      <c r="B186" s="718" t="s">
        <v>167</v>
      </c>
      <c r="C186" s="23">
        <v>1759</v>
      </c>
      <c r="D186" s="27"/>
      <c r="E186" s="25">
        <v>0</v>
      </c>
      <c r="F186" s="25">
        <v>0</v>
      </c>
      <c r="G186" s="51" t="s">
        <v>63</v>
      </c>
      <c r="H186" s="12" t="s">
        <v>168</v>
      </c>
      <c r="I186" s="12">
        <f>F173</f>
        <v>11465229</v>
      </c>
      <c r="J186" s="12"/>
    </row>
    <row r="187" spans="1:15">
      <c r="A187" s="29"/>
      <c r="B187" s="719"/>
      <c r="C187" s="26">
        <v>1760</v>
      </c>
      <c r="D187" s="27"/>
      <c r="E187" s="28">
        <f>E188</f>
        <v>117553.91666666667</v>
      </c>
      <c r="F187" s="75">
        <f>F188</f>
        <v>1410647</v>
      </c>
      <c r="G187" s="51" t="s">
        <v>63</v>
      </c>
      <c r="H187" s="12" t="s">
        <v>169</v>
      </c>
      <c r="I187" s="12">
        <f>F178</f>
        <v>9070575.2300000004</v>
      </c>
    </row>
    <row r="188" spans="1:15">
      <c r="A188" s="29"/>
      <c r="B188" s="272" t="s">
        <v>170</v>
      </c>
      <c r="C188" s="375" t="s">
        <v>122</v>
      </c>
      <c r="D188" s="27"/>
      <c r="E188" s="28">
        <f>F188/12</f>
        <v>117553.91666666667</v>
      </c>
      <c r="F188" s="28">
        <v>1410647</v>
      </c>
      <c r="G188" s="52"/>
      <c r="H188" s="12" t="s">
        <v>171</v>
      </c>
      <c r="I188" s="12">
        <f>F185</f>
        <v>492792</v>
      </c>
    </row>
    <row r="189" spans="1:15">
      <c r="A189" s="29"/>
      <c r="B189" s="690" t="s">
        <v>16</v>
      </c>
      <c r="C189" s="23">
        <v>1759</v>
      </c>
      <c r="D189" s="24">
        <v>0</v>
      </c>
      <c r="E189" s="25">
        <f>F189/12</f>
        <v>0</v>
      </c>
      <c r="F189" s="24">
        <v>0</v>
      </c>
      <c r="G189" s="51" t="s">
        <v>63</v>
      </c>
      <c r="H189" s="12" t="s">
        <v>172</v>
      </c>
      <c r="I189" s="12">
        <f>F188</f>
        <v>1410647</v>
      </c>
    </row>
    <row r="190" spans="1:15">
      <c r="A190" s="29"/>
      <c r="B190" s="691"/>
      <c r="C190" s="26">
        <v>1760</v>
      </c>
      <c r="D190" s="27">
        <v>130000</v>
      </c>
      <c r="E190" s="28">
        <f>F190/12</f>
        <v>177291.41683333329</v>
      </c>
      <c r="F190" s="27">
        <f>2019840*F3+0.13-0.6</f>
        <v>2127497.0019999994</v>
      </c>
      <c r="G190" s="51" t="s">
        <v>63</v>
      </c>
      <c r="H190" s="59" t="s">
        <v>173</v>
      </c>
      <c r="I190" s="168">
        <f>I185+I186+I187+I188+I189</f>
        <v>24097873.23</v>
      </c>
    </row>
    <row r="191" spans="1:15">
      <c r="A191" s="29"/>
      <c r="B191" s="665" t="s">
        <v>101</v>
      </c>
      <c r="C191" s="666"/>
      <c r="D191" s="194" t="e">
        <f>#REF!+D166+D170+#REF!+D176+#REF!+D184+#REF!+D189+#REF!+#REF!</f>
        <v>#REF!</v>
      </c>
      <c r="E191" s="194">
        <f>E166+E170+E172+E176+E184+E186+E189+E164</f>
        <v>253154.75</v>
      </c>
      <c r="F191" s="194">
        <f>F166+F170+F172+F176+F184+F186+F189+F164</f>
        <v>3037857</v>
      </c>
      <c r="G191" s="361"/>
      <c r="H191" s="12"/>
      <c r="I191" s="12"/>
      <c r="K191" s="177"/>
      <c r="L191" s="175"/>
      <c r="M191" s="177"/>
      <c r="N191" s="153"/>
      <c r="O191" s="177"/>
    </row>
    <row r="192" spans="1:15">
      <c r="B192" s="697" t="s">
        <v>102</v>
      </c>
      <c r="C192" s="686"/>
      <c r="D192" s="195" t="e">
        <f>#REF!+D167+D171+#REF!+D177+#REF!+D185+#REF!+D190+#REF!+#REF!</f>
        <v>#REF!</v>
      </c>
      <c r="E192" s="195">
        <f>E167+E171+E177+E173+E185+E187+E190+E165</f>
        <v>2512233.5001666662</v>
      </c>
      <c r="F192" s="195">
        <f>F167+F171+F177+F173+F185+F187+F190+F165</f>
        <v>30146802.002</v>
      </c>
      <c r="G192" s="361"/>
      <c r="H192" s="12"/>
      <c r="I192" s="12"/>
      <c r="K192" s="178"/>
    </row>
    <row r="193" spans="1:30" s="72" customFormat="1">
      <c r="A193" s="6"/>
      <c r="B193" s="698" t="s">
        <v>174</v>
      </c>
      <c r="C193" s="198">
        <v>1759</v>
      </c>
      <c r="E193" s="77">
        <v>0</v>
      </c>
      <c r="F193" s="76">
        <v>0</v>
      </c>
      <c r="G193" s="51" t="s">
        <v>63</v>
      </c>
      <c r="H193" s="12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s="72" customFormat="1">
      <c r="A194" s="6"/>
      <c r="B194" s="698"/>
      <c r="C194" s="199">
        <v>1760</v>
      </c>
      <c r="E194" s="40">
        <v>5000</v>
      </c>
      <c r="F194" s="255">
        <f>E194*12</f>
        <v>60000</v>
      </c>
      <c r="G194" s="51" t="s">
        <v>63</v>
      </c>
      <c r="H194" s="12"/>
      <c r="I194" s="12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s="72" customFormat="1">
      <c r="A195" s="6"/>
      <c r="B195" s="665" t="s">
        <v>175</v>
      </c>
      <c r="C195" s="666"/>
      <c r="D195" s="194"/>
      <c r="E195" s="194">
        <f>E193</f>
        <v>0</v>
      </c>
      <c r="F195" s="194">
        <f>F193</f>
        <v>0</v>
      </c>
      <c r="G195" s="6"/>
      <c r="H195" s="6"/>
      <c r="I195" s="12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s="72" customFormat="1">
      <c r="A196" s="6"/>
      <c r="B196" s="686" t="s">
        <v>176</v>
      </c>
      <c r="C196" s="686"/>
      <c r="D196" s="195"/>
      <c r="E196" s="195">
        <f>E194</f>
        <v>5000</v>
      </c>
      <c r="F196" s="195">
        <f>F194</f>
        <v>60000</v>
      </c>
      <c r="G196" s="361"/>
      <c r="H196" s="6"/>
      <c r="I196" s="12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s="72" customFormat="1">
      <c r="A197" s="6"/>
      <c r="B197" s="78"/>
      <c r="C197" s="79">
        <v>1759</v>
      </c>
      <c r="D197" s="80"/>
      <c r="E197" s="196" t="s">
        <v>106</v>
      </c>
      <c r="F197" s="248">
        <f>F186</f>
        <v>0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s="72" customFormat="1">
      <c r="A198" s="6"/>
      <c r="B198" s="78"/>
      <c r="C198" s="79"/>
      <c r="D198" s="80"/>
      <c r="E198" s="44" t="s">
        <v>107</v>
      </c>
      <c r="F198" s="71">
        <f>F166+F170+F176+F184+F164</f>
        <v>3037857</v>
      </c>
      <c r="G198" s="170">
        <f>F197+F198</f>
        <v>3037857</v>
      </c>
      <c r="H198" s="162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s="72" customFormat="1">
      <c r="A199" s="6"/>
      <c r="B199" s="78"/>
      <c r="C199" s="696">
        <v>1760</v>
      </c>
      <c r="D199" s="80"/>
      <c r="E199" s="42" t="s">
        <v>106</v>
      </c>
      <c r="F199" s="71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s="72" customFormat="1">
      <c r="A200" s="6"/>
      <c r="B200" s="78"/>
      <c r="C200" s="696"/>
      <c r="D200" s="80"/>
      <c r="E200" s="44" t="s">
        <v>107</v>
      </c>
      <c r="F200" s="71">
        <f>F167+F171+F173+F177+F185+F194+F187+F190+F165</f>
        <v>30206802.002</v>
      </c>
      <c r="G200" s="170">
        <f>F199+F200</f>
        <v>30206802.002</v>
      </c>
      <c r="H200" s="162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s="72" customFormat="1">
      <c r="A201" s="6"/>
      <c r="B201" s="78"/>
      <c r="C201" s="78"/>
      <c r="D201" s="80"/>
      <c r="E201" s="80"/>
      <c r="F201" s="80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s="72" customFormat="1">
      <c r="A202" s="6"/>
      <c r="B202" s="78"/>
      <c r="C202" s="78"/>
      <c r="D202" s="80"/>
      <c r="E202" s="80"/>
      <c r="F202" s="8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s="72" customFormat="1">
      <c r="A203" s="657" t="s">
        <v>52</v>
      </c>
      <c r="B203" s="658"/>
      <c r="C203" s="661" t="s">
        <v>3</v>
      </c>
      <c r="D203" s="19" t="s">
        <v>53</v>
      </c>
      <c r="E203" s="189" t="s">
        <v>54</v>
      </c>
      <c r="F203" s="189" t="s">
        <v>4</v>
      </c>
      <c r="G203" s="12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s="72" customFormat="1">
      <c r="A204" s="659"/>
      <c r="B204" s="660"/>
      <c r="C204" s="662"/>
      <c r="D204" s="20" t="s">
        <v>56</v>
      </c>
      <c r="E204" s="190">
        <f>F2</f>
        <v>2027</v>
      </c>
      <c r="F204" s="190">
        <f>F2</f>
        <v>2027</v>
      </c>
      <c r="G204" s="12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s="72" customFormat="1" ht="15">
      <c r="A205" s="186" t="s">
        <v>109</v>
      </c>
      <c r="B205" s="462" t="s">
        <v>177</v>
      </c>
      <c r="C205" s="659"/>
      <c r="D205" s="187"/>
      <c r="E205" s="188">
        <f>E214+E215</f>
        <v>3372268.1666666665</v>
      </c>
      <c r="F205" s="188">
        <f>F214+F215</f>
        <v>35106446</v>
      </c>
      <c r="G205" s="200" t="s">
        <v>60</v>
      </c>
      <c r="H205" s="6"/>
      <c r="I205" s="12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s="72" customFormat="1">
      <c r="A206" s="6"/>
      <c r="B206" s="682" t="s">
        <v>125</v>
      </c>
      <c r="C206" s="23">
        <v>1759</v>
      </c>
      <c r="D206" s="24">
        <v>12300</v>
      </c>
      <c r="E206" s="25">
        <v>0</v>
      </c>
      <c r="F206" s="74">
        <v>0</v>
      </c>
      <c r="G206" s="52" t="s">
        <v>96</v>
      </c>
      <c r="H206" s="6"/>
      <c r="I206" s="12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s="72" customFormat="1">
      <c r="A207" s="6"/>
      <c r="B207" s="682"/>
      <c r="C207" s="26">
        <v>1760</v>
      </c>
      <c r="D207" s="27">
        <v>0</v>
      </c>
      <c r="E207" s="28">
        <f>F207/12</f>
        <v>15416.666666666666</v>
      </c>
      <c r="F207" s="255">
        <f>200000-15000</f>
        <v>185000</v>
      </c>
      <c r="G207" s="52" t="s">
        <v>96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s="72" customFormat="1">
      <c r="A208" s="6"/>
      <c r="B208" s="385" t="s">
        <v>178</v>
      </c>
      <c r="C208" s="199" t="s">
        <v>122</v>
      </c>
      <c r="D208" s="27"/>
      <c r="E208" s="257">
        <v>893462</v>
      </c>
      <c r="F208" s="389">
        <f>E208*6</f>
        <v>5360772</v>
      </c>
      <c r="G208" s="52" t="s">
        <v>96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s="72" customFormat="1">
      <c r="A209" s="6"/>
      <c r="B209" s="682" t="s">
        <v>179</v>
      </c>
      <c r="C209" s="23">
        <v>1759</v>
      </c>
      <c r="D209" s="24">
        <v>35000</v>
      </c>
      <c r="E209" s="25">
        <f>E211+E212</f>
        <v>2438389.5</v>
      </c>
      <c r="F209" s="76">
        <f>E209*12</f>
        <v>29260674</v>
      </c>
      <c r="G209" s="52" t="s">
        <v>96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s="72" customFormat="1">
      <c r="A210" s="6"/>
      <c r="B210" s="694"/>
      <c r="C210" s="36">
        <v>1760</v>
      </c>
      <c r="D210" s="37">
        <v>0</v>
      </c>
      <c r="E210" s="28">
        <f>E213</f>
        <v>25000</v>
      </c>
      <c r="F210" s="28">
        <f>E210*12</f>
        <v>300000</v>
      </c>
      <c r="G210" s="52" t="s">
        <v>96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s="72" customFormat="1">
      <c r="A211" s="6"/>
      <c r="B211" s="267" t="s">
        <v>116</v>
      </c>
      <c r="C211" s="199"/>
      <c r="D211" s="37"/>
      <c r="E211" s="158">
        <v>0</v>
      </c>
      <c r="F211" s="158">
        <v>0</v>
      </c>
      <c r="G211" s="687" t="s">
        <v>180</v>
      </c>
      <c r="H211" s="687"/>
      <c r="I211" s="687"/>
      <c r="J211" s="687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s="72" customFormat="1">
      <c r="A212" s="6"/>
      <c r="B212" s="264" t="s">
        <v>181</v>
      </c>
      <c r="C212" s="23">
        <v>1759</v>
      </c>
      <c r="D212" s="37"/>
      <c r="E212" s="158">
        <v>2438389.5</v>
      </c>
      <c r="F212" s="158">
        <f>E212*12</f>
        <v>29260674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s="72" customFormat="1">
      <c r="A213" s="6"/>
      <c r="B213" s="268" t="s">
        <v>118</v>
      </c>
      <c r="C213" s="36">
        <v>1760</v>
      </c>
      <c r="D213" s="37"/>
      <c r="E213" s="158">
        <f>F213/12</f>
        <v>25000</v>
      </c>
      <c r="F213" s="158">
        <f>300000</f>
        <v>300000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s="72" customFormat="1">
      <c r="A214" s="6"/>
      <c r="B214" s="684" t="s">
        <v>101</v>
      </c>
      <c r="C214" s="722"/>
      <c r="D214" s="194" t="e">
        <f>#REF!+D183+D187+#REF!+D195+#REF!+D205+#REF!+D210+D212+#REF!</f>
        <v>#REF!</v>
      </c>
      <c r="E214" s="194">
        <f>E206+E209</f>
        <v>2438389.5</v>
      </c>
      <c r="F214" s="194">
        <f>F206+F209</f>
        <v>29260674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s="72" customFormat="1">
      <c r="A215" s="6"/>
      <c r="B215" s="686" t="s">
        <v>102</v>
      </c>
      <c r="C215" s="686"/>
      <c r="D215" s="386" t="e">
        <f>#REF!+D184+D188+#REF!+D196+#REF!+D206+#REF!+D211+D213+#REF!</f>
        <v>#REF!</v>
      </c>
      <c r="E215" s="195">
        <f>E207+E208+E210</f>
        <v>933878.66666666663</v>
      </c>
      <c r="F215" s="195">
        <f>F207+F208+F210</f>
        <v>5845772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s="72" customFormat="1">
      <c r="A216" s="6"/>
      <c r="B216" s="78"/>
      <c r="C216" s="79">
        <v>1759</v>
      </c>
      <c r="D216" s="80"/>
      <c r="E216" s="196" t="s">
        <v>106</v>
      </c>
      <c r="F216" s="248">
        <f>F206+F209</f>
        <v>29260674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s="72" customFormat="1">
      <c r="A217" s="6"/>
      <c r="B217" s="78"/>
      <c r="C217" s="79"/>
      <c r="D217" s="80"/>
      <c r="E217" s="44" t="s">
        <v>107</v>
      </c>
      <c r="F217" s="71">
        <v>0</v>
      </c>
      <c r="G217" s="170">
        <f>F216+F217</f>
        <v>29260674</v>
      </c>
      <c r="H217" s="162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s="72" customFormat="1">
      <c r="A218" s="6"/>
      <c r="B218" s="78"/>
      <c r="C218" s="696">
        <v>1760</v>
      </c>
      <c r="D218" s="80"/>
      <c r="E218" s="42" t="s">
        <v>106</v>
      </c>
      <c r="F218" s="71">
        <f>F207+F208+F210</f>
        <v>5845772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s="72" customFormat="1">
      <c r="A219" s="6"/>
      <c r="B219" s="78"/>
      <c r="C219" s="696"/>
      <c r="D219" s="80"/>
      <c r="E219" s="44" t="s">
        <v>107</v>
      </c>
      <c r="F219" s="71">
        <v>0</v>
      </c>
      <c r="G219" s="170">
        <f>F218+F219</f>
        <v>5845772</v>
      </c>
      <c r="H219" s="162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s="72" customFormat="1">
      <c r="A220" s="6"/>
      <c r="B220" s="78"/>
      <c r="C220" s="78"/>
      <c r="D220" s="80"/>
      <c r="E220" s="80"/>
      <c r="F220" s="80"/>
      <c r="G220" s="13">
        <f>G198+G200+G217+G219</f>
        <v>68351105.002000004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s="72" customFormat="1">
      <c r="A221" s="6"/>
      <c r="B221" s="78"/>
      <c r="C221" s="78"/>
      <c r="D221" s="80"/>
      <c r="E221" s="80"/>
      <c r="F221" s="8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1:30">
      <c r="A222" s="657" t="s">
        <v>52</v>
      </c>
      <c r="B222" s="658"/>
      <c r="C222" s="661" t="s">
        <v>3</v>
      </c>
      <c r="D222" s="19" t="s">
        <v>53</v>
      </c>
      <c r="E222" s="189" t="s">
        <v>120</v>
      </c>
      <c r="F222" s="189" t="s">
        <v>4</v>
      </c>
    </row>
    <row r="223" spans="1:30">
      <c r="A223" s="659"/>
      <c r="B223" s="660"/>
      <c r="C223" s="662"/>
      <c r="D223" s="20" t="s">
        <v>56</v>
      </c>
      <c r="E223" s="190">
        <f>F2</f>
        <v>2027</v>
      </c>
      <c r="F223" s="190">
        <f>F2</f>
        <v>2027</v>
      </c>
      <c r="H223" s="13" t="s">
        <v>165</v>
      </c>
      <c r="I223" s="12"/>
    </row>
    <row r="224" spans="1:30" ht="15">
      <c r="A224" s="186" t="s">
        <v>182</v>
      </c>
      <c r="B224" s="462" t="s">
        <v>183</v>
      </c>
      <c r="C224" s="659"/>
      <c r="D224" s="155"/>
      <c r="E224" s="206">
        <f>E231+E232+E237+E238</f>
        <v>1276040.75</v>
      </c>
      <c r="F224" s="391">
        <f>F231+F232</f>
        <v>15094870</v>
      </c>
      <c r="G224" s="200" t="s">
        <v>60</v>
      </c>
      <c r="H224" s="12" t="s">
        <v>166</v>
      </c>
      <c r="I224" s="12">
        <f>F225+F226</f>
        <v>194870</v>
      </c>
    </row>
    <row r="225" spans="1:30" ht="15">
      <c r="A225" s="22"/>
      <c r="B225" s="670" t="s">
        <v>62</v>
      </c>
      <c r="C225" s="81">
        <v>1759</v>
      </c>
      <c r="D225" s="24">
        <v>20000</v>
      </c>
      <c r="E225" s="256">
        <f>F225/12</f>
        <v>3040.75</v>
      </c>
      <c r="F225" s="74">
        <f>98870-62381.1-0.19+0.29</f>
        <v>36489</v>
      </c>
      <c r="G225" s="51" t="s">
        <v>63</v>
      </c>
      <c r="H225" s="12" t="s">
        <v>168</v>
      </c>
      <c r="I225" s="12">
        <f>F228</f>
        <v>2500000</v>
      </c>
      <c r="K225" s="12"/>
    </row>
    <row r="226" spans="1:30" ht="15">
      <c r="A226" s="22"/>
      <c r="B226" s="670"/>
      <c r="C226" s="82">
        <v>1760</v>
      </c>
      <c r="D226" s="27">
        <v>0</v>
      </c>
      <c r="E226" s="257">
        <v>8000</v>
      </c>
      <c r="F226" s="75">
        <f>E226*12+62381.1+0.19-0.29</f>
        <v>158381</v>
      </c>
      <c r="G226" s="51" t="s">
        <v>63</v>
      </c>
      <c r="H226" s="12" t="s">
        <v>171</v>
      </c>
      <c r="I226" s="12">
        <f>F230</f>
        <v>12400000</v>
      </c>
      <c r="K226" s="12"/>
    </row>
    <row r="227" spans="1:30" ht="15">
      <c r="A227" s="22"/>
      <c r="B227" s="720" t="s">
        <v>184</v>
      </c>
      <c r="C227" s="81">
        <v>1759</v>
      </c>
      <c r="D227" s="83">
        <v>0</v>
      </c>
      <c r="E227" s="258">
        <v>0</v>
      </c>
      <c r="F227" s="74">
        <f>E227*12</f>
        <v>0</v>
      </c>
      <c r="G227" s="51" t="s">
        <v>63</v>
      </c>
      <c r="H227" s="59" t="s">
        <v>173</v>
      </c>
      <c r="I227" s="13">
        <f>I224+I225+I226</f>
        <v>15094870</v>
      </c>
      <c r="K227" s="12"/>
    </row>
    <row r="228" spans="1:30" ht="15">
      <c r="A228" s="22"/>
      <c r="B228" s="683"/>
      <c r="C228" s="82">
        <v>1760</v>
      </c>
      <c r="D228" s="37">
        <v>160000</v>
      </c>
      <c r="E228" s="84">
        <v>375000</v>
      </c>
      <c r="F228" s="50">
        <f>E228*12-2000000</f>
        <v>2500000</v>
      </c>
      <c r="G228" s="51" t="s">
        <v>63</v>
      </c>
      <c r="H228" s="12"/>
      <c r="I228" s="12"/>
      <c r="K228" s="12"/>
    </row>
    <row r="229" spans="1:30">
      <c r="A229" s="29"/>
      <c r="B229" s="683" t="s">
        <v>185</v>
      </c>
      <c r="C229" s="81">
        <v>1759</v>
      </c>
      <c r="D229" s="24">
        <v>13000</v>
      </c>
      <c r="E229" s="256">
        <v>0</v>
      </c>
      <c r="F229" s="74">
        <v>0</v>
      </c>
      <c r="G229" s="51" t="s">
        <v>63</v>
      </c>
      <c r="H229" s="12"/>
      <c r="I229" s="12"/>
      <c r="K229" s="12"/>
    </row>
    <row r="230" spans="1:30" ht="15">
      <c r="A230" s="29"/>
      <c r="B230" s="683"/>
      <c r="C230" s="82">
        <v>1760</v>
      </c>
      <c r="D230" s="37">
        <v>265750</v>
      </c>
      <c r="E230" s="84">
        <v>890000</v>
      </c>
      <c r="F230" s="50">
        <f>E230*12+2000000-280000</f>
        <v>12400000</v>
      </c>
      <c r="G230" s="51" t="s">
        <v>63</v>
      </c>
      <c r="H230" s="390"/>
      <c r="I230" s="153"/>
      <c r="K230" s="12"/>
    </row>
    <row r="231" spans="1:30">
      <c r="B231" s="665" t="s">
        <v>101</v>
      </c>
      <c r="C231" s="666"/>
      <c r="D231" s="194" t="e">
        <f>D225+D229+#REF!</f>
        <v>#REF!</v>
      </c>
      <c r="E231" s="194">
        <f>E225+E229+E227</f>
        <v>3040.75</v>
      </c>
      <c r="F231" s="194">
        <f>F225+F227+F229</f>
        <v>36489</v>
      </c>
      <c r="G231" s="369"/>
      <c r="H231" s="12"/>
      <c r="I231" s="153"/>
      <c r="K231" s="12"/>
    </row>
    <row r="232" spans="1:30" s="72" customFormat="1">
      <c r="B232" s="686" t="s">
        <v>102</v>
      </c>
      <c r="C232" s="686"/>
      <c r="D232" s="195" t="e">
        <f>D226+D230+#REF!</f>
        <v>#REF!</v>
      </c>
      <c r="E232" s="195">
        <f>E226+E230+E228</f>
        <v>1273000</v>
      </c>
      <c r="F232" s="195">
        <f>F226+F230+F228</f>
        <v>15058381</v>
      </c>
      <c r="G232" s="369"/>
      <c r="H232" s="12"/>
      <c r="I232" s="153"/>
      <c r="J232" s="6"/>
      <c r="K232" s="12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1:30" s="72" customFormat="1">
      <c r="B233" s="683" t="s">
        <v>186</v>
      </c>
      <c r="C233" s="81">
        <v>1759</v>
      </c>
      <c r="D233" s="85"/>
      <c r="E233" s="86">
        <v>0</v>
      </c>
      <c r="F233" s="74">
        <v>0</v>
      </c>
      <c r="G233" s="51" t="s">
        <v>63</v>
      </c>
      <c r="H233" s="12"/>
      <c r="I233" s="153"/>
      <c r="J233" s="6"/>
      <c r="K233" s="12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1:30" s="72" customFormat="1">
      <c r="B234" s="683"/>
      <c r="C234" s="82">
        <v>1760</v>
      </c>
      <c r="D234" s="85"/>
      <c r="E234" s="87">
        <v>0</v>
      </c>
      <c r="F234" s="50">
        <v>0</v>
      </c>
      <c r="G234" s="51" t="s">
        <v>63</v>
      </c>
      <c r="H234" s="12"/>
      <c r="I234" s="153"/>
      <c r="J234" s="6"/>
      <c r="K234" s="12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1:30" s="72" customFormat="1">
      <c r="B235" s="683" t="s">
        <v>146</v>
      </c>
      <c r="C235" s="81">
        <v>1759</v>
      </c>
      <c r="D235" s="88">
        <v>24500</v>
      </c>
      <c r="E235" s="86">
        <v>0</v>
      </c>
      <c r="F235" s="86">
        <v>0</v>
      </c>
      <c r="G235" s="51" t="s">
        <v>63</v>
      </c>
      <c r="H235" s="12"/>
      <c r="I235" s="153"/>
      <c r="J235" s="6"/>
      <c r="K235" s="12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1:30" s="72" customFormat="1">
      <c r="B236" s="683"/>
      <c r="C236" s="82">
        <v>1760</v>
      </c>
      <c r="D236" s="87">
        <f>56000/8</f>
        <v>7000</v>
      </c>
      <c r="E236" s="89">
        <v>0</v>
      </c>
      <c r="F236" s="50">
        <f>E236*12</f>
        <v>0</v>
      </c>
      <c r="G236" s="51" t="s">
        <v>63</v>
      </c>
      <c r="H236" s="12"/>
      <c r="I236" s="12"/>
      <c r="J236" s="6"/>
      <c r="K236" s="12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>
      <c r="B237" s="665" t="s">
        <v>104</v>
      </c>
      <c r="C237" s="666"/>
      <c r="D237" s="194">
        <f>D235</f>
        <v>24500</v>
      </c>
      <c r="E237" s="194">
        <f>E235</f>
        <v>0</v>
      </c>
      <c r="F237" s="194">
        <f>F233+F235</f>
        <v>0</v>
      </c>
      <c r="H237" s="12"/>
      <c r="I237" s="12"/>
      <c r="K237" s="12"/>
    </row>
    <row r="238" spans="1:30">
      <c r="B238" s="686" t="s">
        <v>105</v>
      </c>
      <c r="C238" s="686"/>
      <c r="D238" s="195">
        <f>D236</f>
        <v>7000</v>
      </c>
      <c r="E238" s="195">
        <f>E236</f>
        <v>0</v>
      </c>
      <c r="F238" s="195">
        <f>F234+F236</f>
        <v>0</v>
      </c>
      <c r="G238" s="361"/>
      <c r="H238" s="12"/>
      <c r="I238" s="12"/>
    </row>
    <row r="239" spans="1:30">
      <c r="C239" s="667">
        <v>1759</v>
      </c>
      <c r="D239" s="16"/>
      <c r="E239" s="42" t="s">
        <v>106</v>
      </c>
      <c r="F239" s="71">
        <v>0</v>
      </c>
      <c r="G239" s="12"/>
      <c r="H239" s="12"/>
    </row>
    <row r="240" spans="1:30">
      <c r="C240" s="667"/>
      <c r="D240" s="16"/>
      <c r="E240" s="44" t="s">
        <v>107</v>
      </c>
      <c r="F240" s="71">
        <f>F225+F227+F229</f>
        <v>36489</v>
      </c>
      <c r="G240" s="45">
        <f>F239+F240+F241</f>
        <v>36489</v>
      </c>
      <c r="H240" s="46"/>
    </row>
    <row r="241" spans="1:11">
      <c r="C241" s="667"/>
      <c r="D241" s="16"/>
      <c r="E241" s="44" t="s">
        <v>108</v>
      </c>
      <c r="F241" s="71">
        <f>F233+F235</f>
        <v>0</v>
      </c>
      <c r="G241" s="12"/>
    </row>
    <row r="242" spans="1:11">
      <c r="C242" s="667">
        <v>1760</v>
      </c>
      <c r="D242" s="16"/>
      <c r="E242" s="42" t="s">
        <v>106</v>
      </c>
      <c r="F242" s="71">
        <v>0</v>
      </c>
      <c r="G242" s="12"/>
    </row>
    <row r="243" spans="1:11">
      <c r="C243" s="667"/>
      <c r="D243" s="16"/>
      <c r="E243" s="44" t="s">
        <v>107</v>
      </c>
      <c r="F243" s="71">
        <f>F226+F228+F230</f>
        <v>15058381</v>
      </c>
      <c r="G243" s="45">
        <f>F242+F243+F244</f>
        <v>15058381</v>
      </c>
      <c r="H243" s="46"/>
    </row>
    <row r="244" spans="1:11">
      <c r="C244" s="667"/>
      <c r="D244" s="16"/>
      <c r="E244" s="44" t="s">
        <v>108</v>
      </c>
      <c r="F244" s="71">
        <f>F234+F236</f>
        <v>0</v>
      </c>
      <c r="G244" s="12"/>
    </row>
    <row r="245" spans="1:11">
      <c r="G245" s="12"/>
    </row>
    <row r="246" spans="1:11">
      <c r="G246" s="12"/>
    </row>
    <row r="247" spans="1:11">
      <c r="A247" s="657" t="s">
        <v>52</v>
      </c>
      <c r="B247" s="658"/>
      <c r="C247" s="661" t="s">
        <v>3</v>
      </c>
      <c r="D247" s="19"/>
      <c r="E247" s="189" t="s">
        <v>120</v>
      </c>
      <c r="F247" s="189" t="s">
        <v>4</v>
      </c>
      <c r="G247" s="153"/>
    </row>
    <row r="248" spans="1:11">
      <c r="A248" s="659"/>
      <c r="B248" s="660"/>
      <c r="C248" s="662"/>
      <c r="D248" s="20"/>
      <c r="E248" s="190">
        <f>F2</f>
        <v>2027</v>
      </c>
      <c r="F248" s="190">
        <f>F2</f>
        <v>2027</v>
      </c>
      <c r="I248" s="67"/>
    </row>
    <row r="249" spans="1:11" ht="15">
      <c r="A249" s="186" t="s">
        <v>182</v>
      </c>
      <c r="B249" s="462" t="s">
        <v>187</v>
      </c>
      <c r="C249" s="659"/>
      <c r="D249" s="155"/>
      <c r="E249" s="206">
        <f>E252+E253+E258+E259</f>
        <v>236143.33333333334</v>
      </c>
      <c r="F249" s="206">
        <f>F252+F253+F258+F259</f>
        <v>2833720</v>
      </c>
      <c r="G249" s="200" t="s">
        <v>60</v>
      </c>
      <c r="H249" s="12"/>
      <c r="I249" s="12"/>
    </row>
    <row r="250" spans="1:11">
      <c r="B250" s="683" t="s">
        <v>185</v>
      </c>
      <c r="C250" s="81">
        <v>1759</v>
      </c>
      <c r="D250" s="37"/>
      <c r="E250" s="259">
        <f>F250/12</f>
        <v>8333.3333333333339</v>
      </c>
      <c r="F250" s="259">
        <v>100000</v>
      </c>
      <c r="G250" s="51" t="s">
        <v>63</v>
      </c>
      <c r="H250" s="12"/>
      <c r="I250" s="12"/>
      <c r="K250" s="12"/>
    </row>
    <row r="251" spans="1:11">
      <c r="B251" s="683"/>
      <c r="C251" s="82">
        <v>1760</v>
      </c>
      <c r="D251" s="37"/>
      <c r="E251" s="84">
        <v>0</v>
      </c>
      <c r="F251" s="50">
        <v>0</v>
      </c>
      <c r="G251" s="51" t="s">
        <v>63</v>
      </c>
      <c r="H251" s="12"/>
      <c r="I251" s="12"/>
      <c r="K251" s="12"/>
    </row>
    <row r="252" spans="1:11">
      <c r="B252" s="665" t="s">
        <v>101</v>
      </c>
      <c r="C252" s="666"/>
      <c r="D252" s="194">
        <f>D237+D239+D248</f>
        <v>24500</v>
      </c>
      <c r="E252" s="194">
        <f>E250</f>
        <v>8333.3333333333339</v>
      </c>
      <c r="F252" s="194">
        <f>F250</f>
        <v>100000</v>
      </c>
      <c r="G252" s="361"/>
      <c r="H252" s="41"/>
      <c r="I252" s="13"/>
      <c r="J252" s="59"/>
      <c r="K252" s="12"/>
    </row>
    <row r="253" spans="1:11">
      <c r="B253" s="686" t="s">
        <v>102</v>
      </c>
      <c r="C253" s="686"/>
      <c r="D253" s="195" t="e">
        <f>D238+D247+#REF!</f>
        <v>#REF!</v>
      </c>
      <c r="E253" s="195">
        <f>E251</f>
        <v>0</v>
      </c>
      <c r="F253" s="195">
        <f>F251</f>
        <v>0</v>
      </c>
      <c r="G253" s="361"/>
      <c r="H253" s="214"/>
      <c r="I253" s="12"/>
      <c r="K253" s="12"/>
    </row>
    <row r="254" spans="1:11">
      <c r="B254" s="683" t="s">
        <v>186</v>
      </c>
      <c r="C254" s="81">
        <v>1759</v>
      </c>
      <c r="D254" s="85"/>
      <c r="E254" s="259">
        <f>F254/12</f>
        <v>0</v>
      </c>
      <c r="F254" s="259">
        <v>0</v>
      </c>
      <c r="G254" s="51" t="s">
        <v>63</v>
      </c>
      <c r="H254" s="214"/>
      <c r="I254" s="12"/>
      <c r="J254" s="153"/>
      <c r="K254" s="12"/>
    </row>
    <row r="255" spans="1:11" ht="12.75" customHeight="1">
      <c r="B255" s="683"/>
      <c r="C255" s="82">
        <v>1760</v>
      </c>
      <c r="D255" s="85"/>
      <c r="E255" s="84">
        <f>F255/12</f>
        <v>144476.66666666666</v>
      </c>
      <c r="F255" s="84">
        <f>850000+883720</f>
        <v>1733720</v>
      </c>
      <c r="G255" s="51" t="s">
        <v>63</v>
      </c>
      <c r="H255" s="12"/>
      <c r="I255" s="12"/>
      <c r="K255" s="12"/>
    </row>
    <row r="256" spans="1:11">
      <c r="B256" s="683" t="s">
        <v>146</v>
      </c>
      <c r="C256" s="81">
        <v>1759</v>
      </c>
      <c r="D256" s="88">
        <v>24500</v>
      </c>
      <c r="E256" s="259">
        <v>0</v>
      </c>
      <c r="F256" s="259">
        <v>0</v>
      </c>
      <c r="G256" s="51" t="s">
        <v>63</v>
      </c>
      <c r="H256" s="12"/>
      <c r="I256" s="12"/>
      <c r="K256" s="12"/>
    </row>
    <row r="257" spans="1:11">
      <c r="B257" s="683"/>
      <c r="C257" s="82">
        <v>1760</v>
      </c>
      <c r="D257" s="87">
        <f>56000/8</f>
        <v>7000</v>
      </c>
      <c r="E257" s="84">
        <f>F257/12</f>
        <v>83333.333333333328</v>
      </c>
      <c r="F257" s="50">
        <v>1000000</v>
      </c>
      <c r="G257" s="51" t="s">
        <v>63</v>
      </c>
      <c r="H257" s="12"/>
      <c r="I257" s="12"/>
      <c r="K257" s="12"/>
    </row>
    <row r="258" spans="1:11">
      <c r="B258" s="665" t="s">
        <v>188</v>
      </c>
      <c r="C258" s="666"/>
      <c r="D258" s="194"/>
      <c r="E258" s="194">
        <f>E254+E256</f>
        <v>0</v>
      </c>
      <c r="F258" s="194">
        <f>F254+F256</f>
        <v>0</v>
      </c>
      <c r="G258" s="12"/>
      <c r="H258" s="12"/>
      <c r="I258" s="12"/>
      <c r="K258" s="12"/>
    </row>
    <row r="259" spans="1:11">
      <c r="B259" s="686" t="s">
        <v>105</v>
      </c>
      <c r="C259" s="686"/>
      <c r="D259" s="195"/>
      <c r="E259" s="195">
        <f>E255+E257</f>
        <v>227810</v>
      </c>
      <c r="F259" s="195">
        <f>F255+F257</f>
        <v>2733720</v>
      </c>
      <c r="G259" s="368"/>
      <c r="H259" s="12"/>
      <c r="I259" s="12"/>
    </row>
    <row r="260" spans="1:11">
      <c r="C260" s="667">
        <v>1759</v>
      </c>
      <c r="D260" s="90"/>
      <c r="E260" s="42" t="s">
        <v>106</v>
      </c>
      <c r="F260" s="71">
        <v>0</v>
      </c>
      <c r="G260" s="12"/>
      <c r="H260" s="12"/>
      <c r="I260" s="12"/>
    </row>
    <row r="261" spans="1:11">
      <c r="C261" s="667"/>
      <c r="D261" s="90"/>
      <c r="E261" s="44" t="s">
        <v>107</v>
      </c>
      <c r="F261" s="71">
        <f>F250</f>
        <v>100000</v>
      </c>
      <c r="G261" s="45">
        <f>F260+F261+F262</f>
        <v>100000</v>
      </c>
      <c r="H261" s="46"/>
      <c r="I261" s="12"/>
    </row>
    <row r="262" spans="1:11">
      <c r="C262" s="667"/>
      <c r="D262" s="90"/>
      <c r="E262" s="44" t="s">
        <v>108</v>
      </c>
      <c r="F262" s="58">
        <f>F254+F256</f>
        <v>0</v>
      </c>
      <c r="G262" s="12"/>
      <c r="H262" s="12"/>
      <c r="I262" s="12"/>
    </row>
    <row r="263" spans="1:11">
      <c r="C263" s="667">
        <v>1760</v>
      </c>
      <c r="D263" s="90"/>
      <c r="E263" s="42" t="s">
        <v>106</v>
      </c>
      <c r="F263" s="58">
        <v>0</v>
      </c>
      <c r="G263" s="12"/>
      <c r="H263" s="12"/>
      <c r="I263" s="12"/>
    </row>
    <row r="264" spans="1:11">
      <c r="C264" s="667"/>
      <c r="D264" s="90"/>
      <c r="E264" s="44" t="s">
        <v>107</v>
      </c>
      <c r="F264" s="58">
        <f>F251</f>
        <v>0</v>
      </c>
      <c r="G264" s="45">
        <f>F263+F264+F265</f>
        <v>2733720</v>
      </c>
      <c r="H264" s="46"/>
      <c r="I264" s="12"/>
    </row>
    <row r="265" spans="1:11">
      <c r="C265" s="667"/>
      <c r="D265" s="90"/>
      <c r="E265" s="44" t="s">
        <v>108</v>
      </c>
      <c r="F265" s="58">
        <f>F255+F257</f>
        <v>2733720</v>
      </c>
      <c r="G265" s="12"/>
      <c r="H265" s="12"/>
      <c r="I265" s="12"/>
    </row>
    <row r="266" spans="1:11">
      <c r="C266" s="16"/>
      <c r="D266" s="16"/>
      <c r="E266" s="91"/>
      <c r="F266" s="12"/>
      <c r="G266" s="12"/>
      <c r="H266" s="12"/>
      <c r="I266" s="12"/>
    </row>
    <row r="267" spans="1:11">
      <c r="C267" s="16"/>
      <c r="D267" s="16"/>
      <c r="E267" s="91"/>
      <c r="F267" s="12"/>
      <c r="G267" s="12"/>
      <c r="H267" s="12"/>
      <c r="I267" s="12"/>
    </row>
    <row r="268" spans="1:11">
      <c r="A268" s="657" t="s">
        <v>52</v>
      </c>
      <c r="B268" s="658"/>
      <c r="C268" s="661" t="s">
        <v>3</v>
      </c>
      <c r="D268" s="19"/>
      <c r="E268" s="189" t="s">
        <v>120</v>
      </c>
      <c r="F268" s="189" t="s">
        <v>4</v>
      </c>
      <c r="H268" s="12"/>
      <c r="I268" s="12"/>
    </row>
    <row r="269" spans="1:11">
      <c r="A269" s="659"/>
      <c r="B269" s="660"/>
      <c r="C269" s="662"/>
      <c r="D269" s="20"/>
      <c r="E269" s="190">
        <f>F2</f>
        <v>2027</v>
      </c>
      <c r="F269" s="190">
        <f>F2</f>
        <v>2027</v>
      </c>
      <c r="H269" s="12"/>
      <c r="I269" s="67"/>
    </row>
    <row r="270" spans="1:11" ht="15">
      <c r="A270" s="186" t="s">
        <v>182</v>
      </c>
      <c r="B270" s="462" t="s">
        <v>189</v>
      </c>
      <c r="C270" s="659"/>
      <c r="D270" s="155"/>
      <c r="E270" s="206">
        <f>E273+E274</f>
        <v>291666.66666666669</v>
      </c>
      <c r="F270" s="206">
        <f>F273+F274</f>
        <v>3500000</v>
      </c>
      <c r="G270" s="200" t="s">
        <v>60</v>
      </c>
      <c r="H270" s="12"/>
      <c r="I270" s="12"/>
    </row>
    <row r="271" spans="1:11" ht="16.5" customHeight="1">
      <c r="B271" s="5" t="s">
        <v>190</v>
      </c>
      <c r="C271" s="92">
        <v>1760</v>
      </c>
      <c r="D271" s="93"/>
      <c r="E271" s="27">
        <f>F271/12</f>
        <v>291666.66666666669</v>
      </c>
      <c r="F271" s="50">
        <v>3500000</v>
      </c>
      <c r="G271" s="51" t="s">
        <v>63</v>
      </c>
      <c r="H271" s="12"/>
      <c r="I271" s="12"/>
    </row>
    <row r="272" spans="1:11">
      <c r="B272" s="5" t="s">
        <v>191</v>
      </c>
      <c r="C272" s="94">
        <v>1760</v>
      </c>
      <c r="D272" s="95"/>
      <c r="E272" s="27">
        <v>0</v>
      </c>
      <c r="F272" s="50">
        <f>E272*12</f>
        <v>0</v>
      </c>
      <c r="G272" s="51" t="s">
        <v>63</v>
      </c>
      <c r="H272" s="12"/>
      <c r="I272" s="12"/>
    </row>
    <row r="273" spans="1:9">
      <c r="B273" s="686" t="s">
        <v>192</v>
      </c>
      <c r="C273" s="686"/>
      <c r="D273" s="195"/>
      <c r="E273" s="195">
        <f>E271</f>
        <v>291666.66666666669</v>
      </c>
      <c r="F273" s="195">
        <f>F271</f>
        <v>3500000</v>
      </c>
      <c r="G273" s="368"/>
      <c r="H273" s="12"/>
      <c r="I273" s="12"/>
    </row>
    <row r="274" spans="1:9">
      <c r="B274" s="686" t="s">
        <v>105</v>
      </c>
      <c r="C274" s="686"/>
      <c r="D274" s="195"/>
      <c r="E274" s="195">
        <f>E272</f>
        <v>0</v>
      </c>
      <c r="F274" s="195">
        <f>F272</f>
        <v>0</v>
      </c>
      <c r="G274" s="370"/>
    </row>
    <row r="275" spans="1:9">
      <c r="C275" s="667">
        <v>1760</v>
      </c>
      <c r="E275" s="44" t="s">
        <v>107</v>
      </c>
      <c r="F275" s="71">
        <f>F271</f>
        <v>3500000</v>
      </c>
      <c r="G275" s="45">
        <f>F275+F276</f>
        <v>3500000</v>
      </c>
      <c r="H275" s="46"/>
    </row>
    <row r="276" spans="1:9">
      <c r="C276" s="667"/>
      <c r="E276" s="44" t="s">
        <v>108</v>
      </c>
      <c r="F276" s="71">
        <f>F272</f>
        <v>0</v>
      </c>
    </row>
    <row r="279" spans="1:9">
      <c r="A279" s="657" t="s">
        <v>52</v>
      </c>
      <c r="B279" s="658"/>
      <c r="C279" s="661" t="s">
        <v>3</v>
      </c>
      <c r="D279" s="19" t="s">
        <v>53</v>
      </c>
      <c r="E279" s="189" t="s">
        <v>120</v>
      </c>
      <c r="F279" s="189" t="s">
        <v>4</v>
      </c>
      <c r="H279" s="12"/>
      <c r="I279" s="12"/>
    </row>
    <row r="280" spans="1:9">
      <c r="A280" s="659"/>
      <c r="B280" s="660"/>
      <c r="C280" s="662"/>
      <c r="D280" s="20" t="s">
        <v>56</v>
      </c>
      <c r="E280" s="190">
        <f>F2</f>
        <v>2027</v>
      </c>
      <c r="F280" s="190">
        <f>F2</f>
        <v>2027</v>
      </c>
      <c r="H280" s="12"/>
      <c r="I280" s="12"/>
    </row>
    <row r="281" spans="1:9" ht="15">
      <c r="A281" s="260" t="s">
        <v>193</v>
      </c>
      <c r="B281" s="462" t="s">
        <v>194</v>
      </c>
      <c r="C281" s="659"/>
      <c r="D281" s="155"/>
      <c r="E281" s="206">
        <f>E287+E289</f>
        <v>140094.16666666666</v>
      </c>
      <c r="F281" s="206">
        <f>F287+F289</f>
        <v>1711130</v>
      </c>
      <c r="G281" s="200" t="s">
        <v>60</v>
      </c>
      <c r="H281" s="12"/>
      <c r="I281" s="12"/>
    </row>
    <row r="282" spans="1:9" ht="14.25">
      <c r="A282" s="169"/>
      <c r="B282" s="261" t="s">
        <v>62</v>
      </c>
      <c r="C282" s="81">
        <v>1759</v>
      </c>
      <c r="D282" s="97"/>
      <c r="E282" s="24">
        <f>F282/12</f>
        <v>7445.333333333333</v>
      </c>
      <c r="F282" s="24">
        <f>89339.22+4.49+0.29</f>
        <v>89344</v>
      </c>
      <c r="G282" s="51" t="s">
        <v>63</v>
      </c>
      <c r="H282" s="12"/>
    </row>
    <row r="283" spans="1:9" ht="14.25">
      <c r="A283" s="169"/>
      <c r="B283" s="96" t="s">
        <v>195</v>
      </c>
      <c r="C283" s="81">
        <v>1759</v>
      </c>
      <c r="D283" s="97"/>
      <c r="E283" s="24">
        <f>F283/12</f>
        <v>2500</v>
      </c>
      <c r="F283" s="24">
        <f>30000</f>
        <v>30000</v>
      </c>
      <c r="G283" s="51" t="s">
        <v>63</v>
      </c>
      <c r="H283" s="12"/>
    </row>
    <row r="284" spans="1:9">
      <c r="A284" s="29"/>
      <c r="B284" s="5" t="s">
        <v>196</v>
      </c>
      <c r="C284" s="81">
        <v>1759</v>
      </c>
      <c r="D284" s="24">
        <v>2000</v>
      </c>
      <c r="E284" s="24">
        <f>F284/12</f>
        <v>20872.166666666668</v>
      </c>
      <c r="F284" s="24">
        <f>113466.05+137000-0.05</f>
        <v>250466</v>
      </c>
      <c r="G284" s="51" t="s">
        <v>63</v>
      </c>
      <c r="H284" s="12"/>
    </row>
    <row r="285" spans="1:9">
      <c r="A285" s="29"/>
      <c r="B285" s="2" t="s">
        <v>197</v>
      </c>
      <c r="C285" s="81">
        <v>1759</v>
      </c>
      <c r="D285" s="24">
        <v>0</v>
      </c>
      <c r="E285" s="24">
        <f>F285/12</f>
        <v>20943.333333333332</v>
      </c>
      <c r="F285" s="74">
        <f>251320.24-0.24</f>
        <v>251320</v>
      </c>
      <c r="G285" s="51" t="s">
        <v>63</v>
      </c>
    </row>
    <row r="286" spans="1:9">
      <c r="A286" s="29"/>
      <c r="B286" s="228" t="s">
        <v>80</v>
      </c>
      <c r="C286" s="249" t="s">
        <v>81</v>
      </c>
      <c r="D286" s="24">
        <v>3000</v>
      </c>
      <c r="E286" s="24">
        <f>F286/12</f>
        <v>83333.333333333328</v>
      </c>
      <c r="F286" s="74">
        <f>701320.24-F285+550000-0.24</f>
        <v>1000000</v>
      </c>
      <c r="G286" s="51" t="s">
        <v>63</v>
      </c>
      <c r="H286" s="53"/>
      <c r="I286" s="53"/>
    </row>
    <row r="287" spans="1:9" ht="14.25" customHeight="1">
      <c r="A287" s="29"/>
      <c r="B287" s="684" t="s">
        <v>101</v>
      </c>
      <c r="C287" s="666"/>
      <c r="D287" s="194" t="e">
        <f>D280+D284+D285+D286+D277+D280+D284+D285+D286</f>
        <v>#VALUE!</v>
      </c>
      <c r="E287" s="194">
        <f>E282+E284+E285+E286</f>
        <v>132594.16666666666</v>
      </c>
      <c r="F287" s="194">
        <f>SUM(F282:F286)</f>
        <v>1621130</v>
      </c>
      <c r="G287" s="361"/>
      <c r="H287" s="12"/>
    </row>
    <row r="288" spans="1:9">
      <c r="B288" s="228" t="s">
        <v>103</v>
      </c>
      <c r="C288" s="250">
        <v>1759</v>
      </c>
      <c r="D288" s="38"/>
      <c r="E288" s="39">
        <f>F288/12</f>
        <v>7500</v>
      </c>
      <c r="F288" s="25">
        <v>90000</v>
      </c>
      <c r="G288" s="51" t="s">
        <v>63</v>
      </c>
    </row>
    <row r="289" spans="2:8">
      <c r="B289" s="665" t="s">
        <v>104</v>
      </c>
      <c r="C289" s="666"/>
      <c r="D289" s="194">
        <v>0</v>
      </c>
      <c r="E289" s="194">
        <f>E288</f>
        <v>7500</v>
      </c>
      <c r="F289" s="194">
        <f>F288</f>
        <v>90000</v>
      </c>
      <c r="G289" s="361"/>
      <c r="H289" s="12"/>
    </row>
    <row r="290" spans="2:8">
      <c r="C290" s="667">
        <v>1759</v>
      </c>
      <c r="E290" s="44" t="s">
        <v>107</v>
      </c>
      <c r="F290" s="71">
        <f>F282+F283+F284+F285+F286</f>
        <v>1621130</v>
      </c>
      <c r="G290" s="170">
        <f>F290+F291</f>
        <v>1711130</v>
      </c>
      <c r="H290" s="162"/>
    </row>
    <row r="291" spans="2:8">
      <c r="C291" s="667"/>
      <c r="E291" s="44" t="s">
        <v>108</v>
      </c>
      <c r="F291" s="71">
        <f>F288</f>
        <v>90000</v>
      </c>
      <c r="G291" s="12"/>
      <c r="H291" s="12"/>
    </row>
    <row r="294" spans="2:8">
      <c r="B294" s="680" t="s">
        <v>198</v>
      </c>
      <c r="C294" s="680"/>
      <c r="D294" s="273"/>
      <c r="E294" s="274">
        <f>F30+F55+F98+F191+F214+F231+F252+F287+F134</f>
        <v>45051500</v>
      </c>
      <c r="G294" s="12">
        <f>F9+F46+F67+F81+F96+F105+F113+F121+F129+F143+F153+F163+F205+F224+F249+F270+F281</f>
        <v>172000000.002</v>
      </c>
      <c r="H294" s="6" t="s">
        <v>199</v>
      </c>
    </row>
    <row r="295" spans="2:8">
      <c r="B295" s="676" t="s">
        <v>200</v>
      </c>
      <c r="C295" s="676"/>
      <c r="D295" s="273"/>
      <c r="E295" s="275">
        <f>F31+F56+F70+F87+F123+F147+F192+F215+F232+F253+F273+F135</f>
        <v>122676963.002</v>
      </c>
      <c r="G295" s="12">
        <v>172000000</v>
      </c>
    </row>
    <row r="296" spans="2:8">
      <c r="B296" s="678" t="s">
        <v>201</v>
      </c>
      <c r="C296" s="678"/>
      <c r="D296" s="273"/>
      <c r="E296" s="276">
        <f>E294+E295</f>
        <v>167728463.002</v>
      </c>
      <c r="G296" s="177"/>
    </row>
    <row r="297" spans="2:8">
      <c r="B297" s="680" t="s">
        <v>202</v>
      </c>
      <c r="C297" s="680"/>
      <c r="D297" s="273"/>
      <c r="E297" s="274">
        <f>F195</f>
        <v>0</v>
      </c>
      <c r="F297" s="12">
        <f>E294+E297+E301</f>
        <v>45141500</v>
      </c>
      <c r="G297" s="393">
        <f>G309-F297</f>
        <v>0</v>
      </c>
      <c r="H297" s="12"/>
    </row>
    <row r="298" spans="2:8">
      <c r="B298" s="676" t="s">
        <v>203</v>
      </c>
      <c r="C298" s="676"/>
      <c r="D298" s="273"/>
      <c r="E298" s="275">
        <f>F196</f>
        <v>60000</v>
      </c>
      <c r="F298" s="12"/>
      <c r="G298" s="12"/>
      <c r="H298" s="12"/>
    </row>
    <row r="299" spans="2:8">
      <c r="B299" s="678" t="s">
        <v>204</v>
      </c>
      <c r="C299" s="678"/>
      <c r="D299" s="273"/>
      <c r="E299" s="276">
        <f>E297+E298</f>
        <v>60000</v>
      </c>
      <c r="F299" s="12"/>
      <c r="G299" s="12"/>
      <c r="H299" s="12"/>
    </row>
    <row r="300" spans="2:8">
      <c r="B300" s="652" t="s">
        <v>205</v>
      </c>
      <c r="C300" s="652"/>
      <c r="D300" s="279"/>
      <c r="E300" s="280">
        <f>E296+E299</f>
        <v>167788463.002</v>
      </c>
      <c r="F300" s="12"/>
      <c r="G300" s="12"/>
      <c r="H300" s="12"/>
    </row>
    <row r="301" spans="2:8">
      <c r="B301" s="680" t="s">
        <v>206</v>
      </c>
      <c r="C301" s="680"/>
      <c r="D301" s="273"/>
      <c r="E301" s="274">
        <f>F34+F237+F258+F289</f>
        <v>90000</v>
      </c>
      <c r="F301" s="12">
        <f>E295+E298+E302</f>
        <v>126858500.002</v>
      </c>
      <c r="G301" s="12">
        <f>F301-G313</f>
        <v>2.0000040531158447E-3</v>
      </c>
      <c r="H301" s="12"/>
    </row>
    <row r="302" spans="2:8">
      <c r="B302" s="676" t="s">
        <v>207</v>
      </c>
      <c r="C302" s="676"/>
      <c r="D302" s="273"/>
      <c r="E302" s="275">
        <f>F35+F72+F107+F115+F158+F238+F259+F274</f>
        <v>4121537</v>
      </c>
      <c r="F302" s="12"/>
      <c r="G302" s="12"/>
      <c r="H302" s="12"/>
    </row>
    <row r="303" spans="2:8">
      <c r="B303" s="652" t="s">
        <v>208</v>
      </c>
      <c r="C303" s="652"/>
      <c r="D303" s="279"/>
      <c r="E303" s="280">
        <f>E301+E302</f>
        <v>4211537</v>
      </c>
      <c r="F303" s="12"/>
      <c r="G303" s="153"/>
    </row>
    <row r="304" spans="2:8">
      <c r="B304" s="653" t="s">
        <v>209</v>
      </c>
      <c r="C304" s="653"/>
      <c r="D304" s="277"/>
      <c r="E304" s="278">
        <f>E296+E299+E303</f>
        <v>172000000.002</v>
      </c>
      <c r="G304" s="153"/>
    </row>
    <row r="306" spans="1:9">
      <c r="B306" s="277" t="s">
        <v>210</v>
      </c>
      <c r="C306" s="654" t="s">
        <v>211</v>
      </c>
      <c r="D306" s="654"/>
      <c r="E306" s="654"/>
    </row>
    <row r="307" spans="1:9">
      <c r="A307" s="655">
        <v>1759</v>
      </c>
      <c r="B307" s="283" t="s">
        <v>106</v>
      </c>
      <c r="C307" s="656">
        <f>F36+F99+F197+F239+F260+F57+F216</f>
        <v>39679869</v>
      </c>
      <c r="D307" s="656"/>
      <c r="E307" s="656"/>
    </row>
    <row r="308" spans="1:9">
      <c r="A308" s="655"/>
      <c r="B308" s="282" t="s">
        <v>107</v>
      </c>
      <c r="C308" s="663">
        <f>F37+F100+F198+F240+F261+F290+F130</f>
        <v>5371631</v>
      </c>
      <c r="D308" s="663"/>
      <c r="E308" s="663"/>
      <c r="F308" s="12"/>
    </row>
    <row r="309" spans="1:9">
      <c r="A309" s="655"/>
      <c r="B309" s="282" t="s">
        <v>108</v>
      </c>
      <c r="C309" s="663">
        <f>F38+F241+F262+F291</f>
        <v>90000</v>
      </c>
      <c r="D309" s="663"/>
      <c r="E309" s="663"/>
      <c r="F309" s="12">
        <f>C307+C308+C309</f>
        <v>45141500</v>
      </c>
      <c r="G309" s="12">
        <v>45141500</v>
      </c>
      <c r="H309" s="98">
        <f>G309-F309</f>
        <v>0</v>
      </c>
      <c r="I309" s="6" t="s">
        <v>212</v>
      </c>
    </row>
    <row r="310" spans="1:9">
      <c r="A310" s="664" t="s">
        <v>213</v>
      </c>
      <c r="B310" s="664"/>
      <c r="C310" s="651">
        <f>SUM(C307:E309)</f>
        <v>45141500</v>
      </c>
      <c r="D310" s="651"/>
      <c r="E310" s="651"/>
      <c r="F310" s="12"/>
      <c r="G310" s="12"/>
      <c r="H310" s="98"/>
    </row>
    <row r="311" spans="1:9">
      <c r="A311" s="655">
        <v>1760</v>
      </c>
      <c r="B311" s="281" t="s">
        <v>106</v>
      </c>
      <c r="C311" s="663">
        <f>F39+F73+F124+F199+F242+F263+F60+F88+F138+F148+F218</f>
        <v>26947220</v>
      </c>
      <c r="D311" s="663"/>
      <c r="E311" s="663"/>
      <c r="F311" s="12"/>
      <c r="G311" s="12"/>
    </row>
    <row r="312" spans="1:9">
      <c r="A312" s="655"/>
      <c r="B312" s="282" t="s">
        <v>107</v>
      </c>
      <c r="C312" s="663">
        <f>F40+F74+F125+F200+F243+F264+F275+F61+F89+F139+F149+F219</f>
        <v>95789743.002000004</v>
      </c>
      <c r="D312" s="663"/>
      <c r="E312" s="663"/>
      <c r="F312" s="12"/>
      <c r="G312" s="12"/>
    </row>
    <row r="313" spans="1:9">
      <c r="A313" s="655"/>
      <c r="B313" s="282" t="s">
        <v>108</v>
      </c>
      <c r="C313" s="663">
        <f>F41+F76+F108+F116+F159+F244+F265+F276</f>
        <v>4121537</v>
      </c>
      <c r="D313" s="663"/>
      <c r="E313" s="663"/>
      <c r="F313" s="12">
        <f>C311+C312+C313</f>
        <v>126858500.002</v>
      </c>
      <c r="G313" s="12">
        <v>126858500</v>
      </c>
      <c r="H313" s="99">
        <f>G313-F313</f>
        <v>-2.0000040531158447E-3</v>
      </c>
      <c r="I313" s="6" t="s">
        <v>212</v>
      </c>
    </row>
    <row r="314" spans="1:9">
      <c r="A314" s="664" t="s">
        <v>214</v>
      </c>
      <c r="B314" s="664"/>
      <c r="C314" s="651">
        <f>SUM(C311:E313)</f>
        <v>126858500.002</v>
      </c>
      <c r="D314" s="651"/>
      <c r="E314" s="651"/>
      <c r="F314" s="12"/>
      <c r="G314" s="12"/>
      <c r="H314" s="99"/>
    </row>
    <row r="315" spans="1:9">
      <c r="A315" s="654" t="s">
        <v>215</v>
      </c>
      <c r="B315" s="654"/>
      <c r="C315" s="685">
        <f>C310+C314</f>
        <v>172000000.002</v>
      </c>
      <c r="D315" s="685"/>
      <c r="E315" s="685"/>
      <c r="F315" s="13">
        <f>F309+F313</f>
        <v>172000000.002</v>
      </c>
      <c r="G315" s="13">
        <f>G309+G313</f>
        <v>172000000</v>
      </c>
    </row>
    <row r="316" spans="1:9">
      <c r="G316" s="12"/>
      <c r="H316" s="12">
        <f>G315-F315</f>
        <v>-2.0000040531158447E-3</v>
      </c>
    </row>
    <row r="317" spans="1:9">
      <c r="B317" s="281" t="s">
        <v>106</v>
      </c>
      <c r="C317" s="663">
        <f>C307+C311</f>
        <v>66627089</v>
      </c>
      <c r="D317" s="663"/>
      <c r="E317" s="663"/>
      <c r="H317" s="12"/>
    </row>
    <row r="318" spans="1:9">
      <c r="B318" s="284" t="s">
        <v>215</v>
      </c>
      <c r="C318" s="651">
        <f>C317</f>
        <v>66627089</v>
      </c>
      <c r="D318" s="651"/>
      <c r="E318" s="651"/>
      <c r="F318" s="303">
        <f>C318/C322</f>
        <v>0.38736679650712363</v>
      </c>
      <c r="G318" s="79"/>
      <c r="H318" s="13"/>
    </row>
    <row r="319" spans="1:9">
      <c r="B319" s="282" t="s">
        <v>107</v>
      </c>
      <c r="C319" s="663">
        <f>C308+C312</f>
        <v>101161374.002</v>
      </c>
      <c r="D319" s="663"/>
      <c r="E319" s="663"/>
      <c r="G319" s="12"/>
      <c r="H319" s="392"/>
    </row>
    <row r="320" spans="1:9">
      <c r="B320" s="282" t="s">
        <v>108</v>
      </c>
      <c r="C320" s="663">
        <f>C309+C313</f>
        <v>4211537</v>
      </c>
      <c r="D320" s="663"/>
      <c r="E320" s="663"/>
      <c r="F320" s="31"/>
      <c r="G320" s="12"/>
      <c r="H320" s="31"/>
    </row>
    <row r="321" spans="2:9">
      <c r="B321" s="285" t="s">
        <v>215</v>
      </c>
      <c r="C321" s="651">
        <f>C319+C320</f>
        <v>105372911.002</v>
      </c>
      <c r="D321" s="651"/>
      <c r="E321" s="651"/>
      <c r="F321" s="304">
        <f>C321/C322</f>
        <v>0.61263320349287642</v>
      </c>
      <c r="G321" s="12"/>
      <c r="H321" s="171"/>
      <c r="I321" s="153"/>
    </row>
    <row r="322" spans="2:9">
      <c r="B322" s="286" t="s">
        <v>215</v>
      </c>
      <c r="C322" s="685">
        <f>C317+C319+C320</f>
        <v>172000000.002</v>
      </c>
      <c r="D322" s="685"/>
      <c r="E322" s="685"/>
      <c r="F322" s="31"/>
      <c r="G322" s="12"/>
      <c r="H322" s="171"/>
      <c r="I322" s="175"/>
    </row>
    <row r="323" spans="2:9">
      <c r="G323" s="12"/>
      <c r="H323" s="153"/>
      <c r="I323" s="175"/>
    </row>
    <row r="324" spans="2:9">
      <c r="H324" s="153"/>
      <c r="I324" s="175"/>
    </row>
    <row r="325" spans="2:9">
      <c r="E325" s="12"/>
      <c r="G325" s="177"/>
      <c r="H325" s="177"/>
    </row>
    <row r="326" spans="2:9">
      <c r="E326" s="12"/>
      <c r="G326" s="177"/>
      <c r="H326" s="177"/>
    </row>
    <row r="327" spans="2:9">
      <c r="E327" s="21"/>
      <c r="G327" s="177"/>
      <c r="H327" s="177"/>
      <c r="I327" s="153"/>
    </row>
    <row r="328" spans="2:9">
      <c r="E328" s="12"/>
      <c r="G328" s="177"/>
      <c r="H328" s="177"/>
    </row>
    <row r="329" spans="2:9">
      <c r="E329" s="13"/>
      <c r="F329" s="12"/>
      <c r="G329" s="12"/>
    </row>
    <row r="330" spans="2:9">
      <c r="E330" s="153"/>
      <c r="F330" s="12"/>
    </row>
    <row r="331" spans="2:9">
      <c r="E331" s="153"/>
      <c r="F331" s="12"/>
      <c r="G331" s="12"/>
    </row>
    <row r="332" spans="2:9">
      <c r="E332" s="153"/>
      <c r="F332" s="12"/>
      <c r="G332" s="12"/>
    </row>
    <row r="333" spans="2:9">
      <c r="E333" s="153"/>
      <c r="G333" s="12"/>
    </row>
    <row r="334" spans="2:9">
      <c r="E334" s="153"/>
      <c r="G334" s="12"/>
    </row>
  </sheetData>
  <mergeCells count="174">
    <mergeCell ref="C275:C276"/>
    <mergeCell ref="B130:B131"/>
    <mergeCell ref="B134:C134"/>
    <mergeCell ref="B135:C135"/>
    <mergeCell ref="C136:C137"/>
    <mergeCell ref="C99:C100"/>
    <mergeCell ref="B172:B173"/>
    <mergeCell ref="G181:G182"/>
    <mergeCell ref="B180:B182"/>
    <mergeCell ref="C174:C175"/>
    <mergeCell ref="A247:B248"/>
    <mergeCell ref="A268:B269"/>
    <mergeCell ref="B231:C231"/>
    <mergeCell ref="B232:C232"/>
    <mergeCell ref="B233:B234"/>
    <mergeCell ref="B235:B236"/>
    <mergeCell ref="C218:C219"/>
    <mergeCell ref="B214:C214"/>
    <mergeCell ref="B215:C215"/>
    <mergeCell ref="B273:C273"/>
    <mergeCell ref="B274:C274"/>
    <mergeCell ref="C132:C133"/>
    <mergeCell ref="C145:C146"/>
    <mergeCell ref="A279:B280"/>
    <mergeCell ref="C65:C67"/>
    <mergeCell ref="C79:C81"/>
    <mergeCell ref="C94:C96"/>
    <mergeCell ref="C103:C105"/>
    <mergeCell ref="C111:C113"/>
    <mergeCell ref="C119:C121"/>
    <mergeCell ref="C127:C129"/>
    <mergeCell ref="C141:C143"/>
    <mergeCell ref="C151:C153"/>
    <mergeCell ref="C161:C163"/>
    <mergeCell ref="C203:C205"/>
    <mergeCell ref="C222:C224"/>
    <mergeCell ref="C247:C249"/>
    <mergeCell ref="C268:C270"/>
    <mergeCell ref="C279:C281"/>
    <mergeCell ref="B258:C258"/>
    <mergeCell ref="C85:C86"/>
    <mergeCell ref="B184:B185"/>
    <mergeCell ref="B186:B187"/>
    <mergeCell ref="C263:C265"/>
    <mergeCell ref="B225:B226"/>
    <mergeCell ref="B227:B228"/>
    <mergeCell ref="B229:B230"/>
    <mergeCell ref="G51:G52"/>
    <mergeCell ref="C53:C54"/>
    <mergeCell ref="A203:B204"/>
    <mergeCell ref="A222:B223"/>
    <mergeCell ref="G49:G50"/>
    <mergeCell ref="H12:H13"/>
    <mergeCell ref="K48:K51"/>
    <mergeCell ref="C138:C139"/>
    <mergeCell ref="B147:C147"/>
    <mergeCell ref="C148:C149"/>
    <mergeCell ref="B206:B207"/>
    <mergeCell ref="B209:B210"/>
    <mergeCell ref="G211:J211"/>
    <mergeCell ref="H154:J154"/>
    <mergeCell ref="B31:C31"/>
    <mergeCell ref="B32:B33"/>
    <mergeCell ref="G32:G33"/>
    <mergeCell ref="B34:C34"/>
    <mergeCell ref="B35:C35"/>
    <mergeCell ref="C36:C38"/>
    <mergeCell ref="C39:C41"/>
    <mergeCell ref="C73:C76"/>
    <mergeCell ref="B98:C98"/>
    <mergeCell ref="A161:B162"/>
    <mergeCell ref="G10:G11"/>
    <mergeCell ref="B12:B13"/>
    <mergeCell ref="G12:G13"/>
    <mergeCell ref="B14:B15"/>
    <mergeCell ref="G14:G15"/>
    <mergeCell ref="B27:B28"/>
    <mergeCell ref="G27:G28"/>
    <mergeCell ref="B19:B20"/>
    <mergeCell ref="G19:G20"/>
    <mergeCell ref="B23:B24"/>
    <mergeCell ref="G23:G24"/>
    <mergeCell ref="B25:B26"/>
    <mergeCell ref="G25:G26"/>
    <mergeCell ref="C21:C22"/>
    <mergeCell ref="G47:G48"/>
    <mergeCell ref="B49:B50"/>
    <mergeCell ref="B107:C107"/>
    <mergeCell ref="B115:C115"/>
    <mergeCell ref="B123:C123"/>
    <mergeCell ref="B51:B52"/>
    <mergeCell ref="B300:C300"/>
    <mergeCell ref="B195:C195"/>
    <mergeCell ref="B196:C196"/>
    <mergeCell ref="C199:C200"/>
    <mergeCell ref="B254:B255"/>
    <mergeCell ref="C290:C291"/>
    <mergeCell ref="B294:C294"/>
    <mergeCell ref="B250:B251"/>
    <mergeCell ref="B252:C252"/>
    <mergeCell ref="B253:C253"/>
    <mergeCell ref="B191:C191"/>
    <mergeCell ref="B192:C192"/>
    <mergeCell ref="B193:B194"/>
    <mergeCell ref="B295:C295"/>
    <mergeCell ref="B296:C296"/>
    <mergeCell ref="B297:C297"/>
    <mergeCell ref="B259:C259"/>
    <mergeCell ref="C260:C262"/>
    <mergeCell ref="H53:K53"/>
    <mergeCell ref="B55:C55"/>
    <mergeCell ref="B56:C56"/>
    <mergeCell ref="C57:C59"/>
    <mergeCell ref="C60:C62"/>
    <mergeCell ref="B87:C87"/>
    <mergeCell ref="C88:C91"/>
    <mergeCell ref="B189:B190"/>
    <mergeCell ref="B176:B177"/>
    <mergeCell ref="B164:B165"/>
    <mergeCell ref="A94:B95"/>
    <mergeCell ref="A103:B104"/>
    <mergeCell ref="A111:B112"/>
    <mergeCell ref="A119:B120"/>
    <mergeCell ref="A127:B128"/>
    <mergeCell ref="A141:B142"/>
    <mergeCell ref="A151:B152"/>
    <mergeCell ref="B30:C30"/>
    <mergeCell ref="B301:C301"/>
    <mergeCell ref="B47:B48"/>
    <mergeCell ref="B237:C237"/>
    <mergeCell ref="B256:B257"/>
    <mergeCell ref="B287:C287"/>
    <mergeCell ref="C322:E322"/>
    <mergeCell ref="A311:A313"/>
    <mergeCell ref="C311:E311"/>
    <mergeCell ref="C312:E312"/>
    <mergeCell ref="C313:E313"/>
    <mergeCell ref="A315:B315"/>
    <mergeCell ref="C315:E315"/>
    <mergeCell ref="C317:E317"/>
    <mergeCell ref="C318:E318"/>
    <mergeCell ref="C319:E319"/>
    <mergeCell ref="C320:E320"/>
    <mergeCell ref="A314:B314"/>
    <mergeCell ref="C314:E314"/>
    <mergeCell ref="C321:E321"/>
    <mergeCell ref="B302:C302"/>
    <mergeCell ref="B238:C238"/>
    <mergeCell ref="C239:C241"/>
    <mergeCell ref="C242:C244"/>
    <mergeCell ref="C310:E310"/>
    <mergeCell ref="B303:C303"/>
    <mergeCell ref="B304:C304"/>
    <mergeCell ref="C306:E306"/>
    <mergeCell ref="A307:A309"/>
    <mergeCell ref="C307:E307"/>
    <mergeCell ref="A7:B8"/>
    <mergeCell ref="C7:C9"/>
    <mergeCell ref="A44:B45"/>
    <mergeCell ref="C44:C46"/>
    <mergeCell ref="A65:B66"/>
    <mergeCell ref="A79:B80"/>
    <mergeCell ref="C308:E308"/>
    <mergeCell ref="C309:E309"/>
    <mergeCell ref="A310:B310"/>
    <mergeCell ref="B289:C289"/>
    <mergeCell ref="C124:C125"/>
    <mergeCell ref="B158:C158"/>
    <mergeCell ref="B166:B167"/>
    <mergeCell ref="B170:B171"/>
    <mergeCell ref="C155:C157"/>
    <mergeCell ref="B298:C298"/>
    <mergeCell ref="B10:B11"/>
    <mergeCell ref="B299:C299"/>
  </mergeCells>
  <pageMargins left="0.17013888888888901" right="0.15763888888888899" top="0.23611111111111099" bottom="0.19722222222222199" header="0.23611111111111099" footer="0.15763888888888899"/>
  <pageSetup paperSize="9" scale="88" orientation="landscape" horizontalDpi="300" verticalDpi="300"/>
  <headerFooter>
    <oddHeader>&amp;R&amp;8]</oddHeader>
    <oddFooter>&amp;L&amp;6                 &amp;R    &amp;6 
&amp;F</oddFooter>
  </headerFooter>
  <rowBreaks count="5" manualBreakCount="5">
    <brk id="64" max="16383" man="1"/>
    <brk id="125" max="16383" man="1"/>
    <brk id="200" max="16383" man="1"/>
    <brk id="265" max="16383" man="1"/>
    <brk id="293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209"/>
  <sheetViews>
    <sheetView topLeftCell="A203" zoomScale="120" zoomScaleNormal="120" workbookViewId="0">
      <selection activeCell="K9" sqref="K9"/>
    </sheetView>
  </sheetViews>
  <sheetFormatPr defaultColWidth="9.140625" defaultRowHeight="12.75"/>
  <cols>
    <col min="1" max="1" width="22.42578125" style="107" customWidth="1"/>
    <col min="2" max="2" width="73.42578125" style="107" customWidth="1"/>
    <col min="3" max="3" width="10.28515625" style="107" customWidth="1"/>
    <col min="4" max="4" width="18.85546875" style="107" hidden="1" customWidth="1"/>
    <col min="5" max="5" width="18.5703125" style="107" hidden="1" customWidth="1"/>
    <col min="6" max="6" width="16.7109375" style="107" customWidth="1"/>
    <col min="7" max="7" width="21.42578125" style="107" customWidth="1"/>
    <col min="8" max="8" width="2.140625" style="107" customWidth="1"/>
    <col min="9" max="9" width="17.85546875" style="107" customWidth="1"/>
    <col min="10" max="10" width="13" style="107" bestFit="1" customWidth="1"/>
    <col min="11" max="11" width="13.7109375" style="107" customWidth="1"/>
    <col min="12" max="1024" width="9.140625" style="107"/>
  </cols>
  <sheetData>
    <row r="1" spans="1:12" ht="15.95" customHeight="1">
      <c r="B1" s="337" t="s">
        <v>38</v>
      </c>
      <c r="C1" s="338"/>
      <c r="D1" s="338"/>
      <c r="E1" s="338"/>
      <c r="F1" s="339" t="s">
        <v>39</v>
      </c>
      <c r="G1" s="340">
        <v>46267</v>
      </c>
    </row>
    <row r="2" spans="1:12" ht="15.95" customHeight="1">
      <c r="B2" s="337" t="s">
        <v>40</v>
      </c>
      <c r="C2" s="341"/>
      <c r="D2" s="338"/>
      <c r="E2" s="338"/>
      <c r="F2" s="342" t="s">
        <v>41</v>
      </c>
      <c r="G2" s="343">
        <v>2027</v>
      </c>
    </row>
    <row r="3" spans="1:12" ht="15.95" customHeight="1">
      <c r="B3" s="337" t="s">
        <v>43</v>
      </c>
      <c r="C3" s="341"/>
      <c r="D3" s="338"/>
      <c r="E3" s="338"/>
      <c r="F3" s="338"/>
      <c r="G3" s="338"/>
    </row>
    <row r="4" spans="1:12" ht="15.95" customHeight="1">
      <c r="B4" s="344" t="s">
        <v>216</v>
      </c>
      <c r="C4" s="338"/>
      <c r="D4" s="338"/>
      <c r="E4" s="338"/>
      <c r="F4" s="338"/>
      <c r="G4" s="338"/>
    </row>
    <row r="5" spans="1:12" ht="15.95" customHeight="1">
      <c r="B5" s="59" t="s">
        <v>48</v>
      </c>
      <c r="C5" s="338"/>
      <c r="D5" s="338"/>
      <c r="E5" s="338"/>
      <c r="F5" s="338"/>
      <c r="G5" s="338"/>
    </row>
    <row r="6" spans="1:12" s="108" customFormat="1" ht="15.95" customHeight="1">
      <c r="B6" s="344"/>
      <c r="C6" s="338"/>
      <c r="D6" s="338"/>
      <c r="E6" s="345" t="s">
        <v>217</v>
      </c>
      <c r="F6" s="345"/>
      <c r="G6" s="474"/>
    </row>
    <row r="7" spans="1:12" s="108" customFormat="1" ht="24" customHeight="1">
      <c r="A7" s="733" t="s">
        <v>218</v>
      </c>
      <c r="B7" s="733"/>
      <c r="C7" s="733"/>
      <c r="D7" s="733"/>
      <c r="E7" s="733"/>
      <c r="F7" s="733"/>
      <c r="G7" s="733"/>
    </row>
    <row r="8" spans="1:12" s="108" customFormat="1" ht="14.1" customHeight="1">
      <c r="A8" s="738" t="s">
        <v>52</v>
      </c>
      <c r="B8" s="739"/>
      <c r="C8" s="742" t="s">
        <v>3</v>
      </c>
      <c r="D8" s="309" t="s">
        <v>219</v>
      </c>
      <c r="E8" s="310" t="s">
        <v>220</v>
      </c>
      <c r="F8" s="310" t="s">
        <v>54</v>
      </c>
      <c r="G8" s="311" t="s">
        <v>4</v>
      </c>
      <c r="I8" s="200"/>
    </row>
    <row r="9" spans="1:12" s="108" customFormat="1" ht="14.1" customHeight="1">
      <c r="A9" s="740"/>
      <c r="B9" s="746"/>
      <c r="C9" s="742"/>
      <c r="D9" s="306" t="s">
        <v>221</v>
      </c>
      <c r="E9" s="306" t="s">
        <v>222</v>
      </c>
      <c r="F9" s="306">
        <f>G2</f>
        <v>2027</v>
      </c>
      <c r="G9" s="306">
        <f>G2</f>
        <v>2027</v>
      </c>
    </row>
    <row r="10" spans="1:12" s="108" customFormat="1" ht="27" customHeight="1">
      <c r="A10" s="409" t="s">
        <v>58</v>
      </c>
      <c r="B10" s="407" t="s">
        <v>223</v>
      </c>
      <c r="C10" s="312"/>
      <c r="D10" s="315"/>
      <c r="E10" s="315"/>
      <c r="F10" s="408">
        <f>F18+F20+F26</f>
        <v>41841329.884615384</v>
      </c>
      <c r="G10" s="408">
        <f>G18+G20+G26</f>
        <v>508446790</v>
      </c>
      <c r="I10" s="109"/>
    </row>
    <row r="11" spans="1:12" s="108" customFormat="1" ht="18.75" customHeight="1">
      <c r="A11" s="410" t="s">
        <v>224</v>
      </c>
      <c r="B11" s="110"/>
      <c r="C11" s="111"/>
      <c r="D11" s="112">
        <v>3000</v>
      </c>
      <c r="E11" s="112"/>
      <c r="F11" s="113"/>
      <c r="G11" s="113"/>
      <c r="I11" s="114"/>
    </row>
    <row r="12" spans="1:12" s="108" customFormat="1" ht="15.75" customHeight="1">
      <c r="A12" s="747">
        <f>G18+G20</f>
        <v>497453790</v>
      </c>
      <c r="B12" s="513" t="s">
        <v>225</v>
      </c>
      <c r="C12" s="411" t="s">
        <v>226</v>
      </c>
      <c r="D12" s="112">
        <f>191000000+1000000</f>
        <v>192000000</v>
      </c>
      <c r="E12" s="112"/>
      <c r="F12" s="417">
        <f>G12/12</f>
        <v>34282308.5</v>
      </c>
      <c r="G12" s="417">
        <v>411387702</v>
      </c>
      <c r="I12" s="4" t="s">
        <v>96</v>
      </c>
      <c r="J12" s="118"/>
      <c r="K12" s="305"/>
      <c r="L12" s="305"/>
    </row>
    <row r="13" spans="1:12" s="108" customFormat="1" ht="14.1" customHeight="1">
      <c r="A13" s="747"/>
      <c r="B13" s="424" t="s">
        <v>227</v>
      </c>
      <c r="C13" s="411" t="s">
        <v>226</v>
      </c>
      <c r="D13" s="112">
        <f>2600000+1000000</f>
        <v>3600000</v>
      </c>
      <c r="E13" s="112"/>
      <c r="F13" s="417">
        <f>G13/13</f>
        <v>257495</v>
      </c>
      <c r="G13" s="417">
        <v>3347435</v>
      </c>
      <c r="I13" s="4" t="s">
        <v>96</v>
      </c>
    </row>
    <row r="14" spans="1:12" s="108" customFormat="1" ht="14.1" customHeight="1">
      <c r="A14" s="747"/>
      <c r="B14" s="424" t="s">
        <v>228</v>
      </c>
      <c r="C14" s="411" t="s">
        <v>226</v>
      </c>
      <c r="D14" s="112">
        <v>500000</v>
      </c>
      <c r="E14" s="112"/>
      <c r="F14" s="418">
        <f>G14/12</f>
        <v>183773.33333333334</v>
      </c>
      <c r="G14" s="418">
        <v>2205280</v>
      </c>
      <c r="I14" s="4" t="s">
        <v>96</v>
      </c>
    </row>
    <row r="15" spans="1:12" s="108" customFormat="1" ht="14.1" customHeight="1">
      <c r="A15" s="747"/>
      <c r="B15" s="424" t="s">
        <v>229</v>
      </c>
      <c r="C15" s="411" t="s">
        <v>226</v>
      </c>
      <c r="D15" s="112">
        <v>14400000</v>
      </c>
      <c r="E15" s="112"/>
      <c r="F15" s="418">
        <f>G15/12</f>
        <v>16666.666666666668</v>
      </c>
      <c r="G15" s="418">
        <v>200000</v>
      </c>
      <c r="I15" s="4" t="s">
        <v>96</v>
      </c>
    </row>
    <row r="16" spans="1:12" s="108" customFormat="1" ht="14.1" customHeight="1">
      <c r="A16" s="747"/>
      <c r="B16" s="424" t="s">
        <v>230</v>
      </c>
      <c r="C16" s="411" t="s">
        <v>226</v>
      </c>
      <c r="D16" s="112">
        <v>2000000</v>
      </c>
      <c r="E16" s="112"/>
      <c r="F16" s="418">
        <f>G16/12</f>
        <v>91666.666666666672</v>
      </c>
      <c r="G16" s="418">
        <v>1100000</v>
      </c>
      <c r="I16" s="4" t="s">
        <v>96</v>
      </c>
    </row>
    <row r="17" spans="1:11" s="108" customFormat="1" ht="14.1" customHeight="1">
      <c r="A17" s="747"/>
      <c r="B17" s="510" t="s">
        <v>231</v>
      </c>
      <c r="C17" s="412" t="s">
        <v>226</v>
      </c>
      <c r="D17" s="116"/>
      <c r="E17" s="116"/>
      <c r="F17" s="418"/>
      <c r="G17" s="419"/>
      <c r="I17" s="4" t="s">
        <v>96</v>
      </c>
    </row>
    <row r="18" spans="1:11" s="108" customFormat="1" ht="17.25" customHeight="1">
      <c r="A18" s="747"/>
      <c r="B18" s="415" t="s">
        <v>232</v>
      </c>
      <c r="C18" s="318"/>
      <c r="D18" s="318">
        <f>SUM(D11:D16)</f>
        <v>212503000</v>
      </c>
      <c r="E18" s="319">
        <f>SUM(E11:E17)</f>
        <v>0</v>
      </c>
      <c r="F18" s="416">
        <f>SUM(F11:F17)</f>
        <v>34831910.166666664</v>
      </c>
      <c r="G18" s="416">
        <f>SUM(G11:G17)</f>
        <v>418240417</v>
      </c>
      <c r="I18" s="114"/>
      <c r="J18" s="305"/>
    </row>
    <row r="19" spans="1:11" s="108" customFormat="1" ht="14.1" customHeight="1">
      <c r="A19" s="747"/>
      <c r="B19" s="413" t="s">
        <v>233</v>
      </c>
      <c r="C19" s="412" t="s">
        <v>226</v>
      </c>
      <c r="D19" s="113">
        <f>22715000+5000000</f>
        <v>27715000</v>
      </c>
      <c r="E19" s="112"/>
      <c r="F19" s="420">
        <f>G19/13</f>
        <v>6093336.384615385</v>
      </c>
      <c r="G19" s="420">
        <v>79213373</v>
      </c>
      <c r="I19" s="4" t="s">
        <v>96</v>
      </c>
    </row>
    <row r="20" spans="1:11" s="108" customFormat="1" ht="17.25" customHeight="1">
      <c r="A20" s="747"/>
      <c r="B20" s="415" t="s">
        <v>234</v>
      </c>
      <c r="C20" s="320"/>
      <c r="D20" s="320">
        <f>D19</f>
        <v>27715000</v>
      </c>
      <c r="E20" s="321">
        <f>E19</f>
        <v>0</v>
      </c>
      <c r="F20" s="416">
        <f>F19</f>
        <v>6093336.384615385</v>
      </c>
      <c r="G20" s="416">
        <f>G19</f>
        <v>79213373</v>
      </c>
      <c r="I20" s="114"/>
    </row>
    <row r="21" spans="1:11" s="108" customFormat="1" ht="18" customHeight="1">
      <c r="A21" s="427" t="s">
        <v>235</v>
      </c>
      <c r="B21" s="414"/>
      <c r="C21" s="111"/>
      <c r="D21" s="112">
        <v>5400000</v>
      </c>
      <c r="E21" s="112">
        <v>3000</v>
      </c>
      <c r="F21" s="113"/>
      <c r="G21" s="113"/>
      <c r="I21" s="114"/>
      <c r="J21" s="118"/>
      <c r="K21" s="118"/>
    </row>
    <row r="22" spans="1:11" s="108" customFormat="1" ht="14.1" customHeight="1">
      <c r="A22" s="734">
        <f>G26</f>
        <v>10993000</v>
      </c>
      <c r="B22" s="414" t="s">
        <v>236</v>
      </c>
      <c r="C22" s="412" t="s">
        <v>226</v>
      </c>
      <c r="D22" s="112">
        <v>210000</v>
      </c>
      <c r="E22" s="112">
        <v>20000</v>
      </c>
      <c r="F22" s="420">
        <f>G22/12</f>
        <v>29166.666666666668</v>
      </c>
      <c r="G22" s="420">
        <v>350000</v>
      </c>
      <c r="I22" s="3" t="s">
        <v>63</v>
      </c>
      <c r="J22" s="118"/>
      <c r="K22" s="118"/>
    </row>
    <row r="23" spans="1:11" s="108" customFormat="1" ht="14.1" customHeight="1">
      <c r="A23" s="734"/>
      <c r="B23" s="414" t="s">
        <v>237</v>
      </c>
      <c r="C23" s="412" t="s">
        <v>226</v>
      </c>
      <c r="D23" s="112"/>
      <c r="E23" s="112"/>
      <c r="F23" s="420">
        <f>G23/12</f>
        <v>600000</v>
      </c>
      <c r="G23" s="420">
        <v>7200000</v>
      </c>
      <c r="I23" s="3" t="s">
        <v>63</v>
      </c>
      <c r="J23" s="118"/>
      <c r="K23" s="118"/>
    </row>
    <row r="24" spans="1:11" s="108" customFormat="1" ht="14.1" customHeight="1">
      <c r="A24" s="734"/>
      <c r="B24" s="414" t="s">
        <v>238</v>
      </c>
      <c r="C24" s="412" t="s">
        <v>226</v>
      </c>
      <c r="D24" s="112">
        <v>2600000</v>
      </c>
      <c r="E24" s="112">
        <f>1900000/8</f>
        <v>237500</v>
      </c>
      <c r="F24" s="420">
        <f>G24/12</f>
        <v>284416.66666666669</v>
      </c>
      <c r="G24" s="420">
        <v>3413000</v>
      </c>
      <c r="I24" s="3" t="s">
        <v>63</v>
      </c>
      <c r="J24" s="118"/>
      <c r="K24" s="118"/>
    </row>
    <row r="25" spans="1:11" s="108" customFormat="1" ht="14.1" customHeight="1">
      <c r="A25" s="734"/>
      <c r="B25" s="414" t="s">
        <v>239</v>
      </c>
      <c r="C25" s="412" t="s">
        <v>226</v>
      </c>
      <c r="D25" s="112"/>
      <c r="E25" s="112">
        <v>0</v>
      </c>
      <c r="F25" s="420">
        <f>G25/12</f>
        <v>2500</v>
      </c>
      <c r="G25" s="420">
        <v>30000</v>
      </c>
      <c r="I25" s="3" t="s">
        <v>63</v>
      </c>
      <c r="J25" s="118"/>
      <c r="K25" s="118"/>
    </row>
    <row r="26" spans="1:11" s="108" customFormat="1" ht="21" customHeight="1">
      <c r="A26" s="734"/>
      <c r="B26" s="415" t="s">
        <v>240</v>
      </c>
      <c r="C26" s="318"/>
      <c r="D26" s="318">
        <f>SUM(D21:D25)</f>
        <v>8210000</v>
      </c>
      <c r="E26" s="322">
        <f>SUM(E21:E25)</f>
        <v>260500</v>
      </c>
      <c r="F26" s="416">
        <f>SUM(F21:F25)</f>
        <v>916083.33333333326</v>
      </c>
      <c r="G26" s="416">
        <f>SUM(G21:G25)</f>
        <v>10993000</v>
      </c>
      <c r="H26" s="118"/>
      <c r="I26" s="119"/>
      <c r="K26" s="118"/>
    </row>
    <row r="27" spans="1:11" s="108" customFormat="1" ht="21" customHeight="1">
      <c r="A27" s="114"/>
      <c r="B27" s="120"/>
      <c r="F27" s="421" t="s">
        <v>241</v>
      </c>
      <c r="G27" s="423">
        <f>G11+G12+G13+G14+G15+G16+G17+G19</f>
        <v>497453790</v>
      </c>
      <c r="K27" s="118"/>
    </row>
    <row r="28" spans="1:11" s="108" customFormat="1" ht="24" customHeight="1">
      <c r="A28" s="117"/>
      <c r="B28" s="120"/>
      <c r="F28" s="422" t="s">
        <v>107</v>
      </c>
      <c r="G28" s="423">
        <f>G22+G23+G24+G25</f>
        <v>10993000</v>
      </c>
      <c r="K28" s="118"/>
    </row>
    <row r="29" spans="1:11" s="108" customFormat="1" ht="14.1" customHeight="1">
      <c r="A29" s="117"/>
      <c r="B29" s="120"/>
      <c r="F29" s="117"/>
      <c r="G29" s="121"/>
    </row>
    <row r="30" spans="1:11" s="108" customFormat="1" ht="14.1" customHeight="1">
      <c r="A30" s="738" t="s">
        <v>52</v>
      </c>
      <c r="B30" s="739"/>
      <c r="C30" s="742" t="s">
        <v>3</v>
      </c>
      <c r="D30" s="309" t="s">
        <v>219</v>
      </c>
      <c r="E30" s="310" t="s">
        <v>220</v>
      </c>
      <c r="F30" s="310" t="s">
        <v>54</v>
      </c>
      <c r="G30" s="311" t="s">
        <v>4</v>
      </c>
    </row>
    <row r="31" spans="1:11" s="108" customFormat="1" ht="12" customHeight="1">
      <c r="A31" s="740"/>
      <c r="B31" s="746"/>
      <c r="C31" s="742"/>
      <c r="D31" s="306" t="s">
        <v>221</v>
      </c>
      <c r="E31" s="306" t="s">
        <v>222</v>
      </c>
      <c r="F31" s="306">
        <f>G2</f>
        <v>2027</v>
      </c>
      <c r="G31" s="306">
        <f>G2</f>
        <v>2027</v>
      </c>
      <c r="I31" s="200"/>
    </row>
    <row r="32" spans="1:11" s="108" customFormat="1" ht="22.5" customHeight="1">
      <c r="A32" s="409" t="s">
        <v>58</v>
      </c>
      <c r="B32" s="407" t="s">
        <v>242</v>
      </c>
      <c r="C32" s="313"/>
      <c r="D32" s="314"/>
      <c r="E32" s="314"/>
      <c r="F32" s="408">
        <f>F39+F41+F47</f>
        <v>8664726.153846154</v>
      </c>
      <c r="G32" s="408">
        <f>G39+G41+G47</f>
        <v>105185620</v>
      </c>
      <c r="I32" s="109"/>
    </row>
    <row r="33" spans="1:10" s="108" customFormat="1" ht="16.5" customHeight="1">
      <c r="A33" s="410" t="s">
        <v>224</v>
      </c>
      <c r="B33" s="516" t="s">
        <v>225</v>
      </c>
      <c r="C33" s="412" t="s">
        <v>226</v>
      </c>
      <c r="D33" s="112">
        <v>41497000</v>
      </c>
      <c r="E33" s="112"/>
      <c r="F33" s="514">
        <f>G33/12</f>
        <v>7017736.666666667</v>
      </c>
      <c r="G33" s="514">
        <v>84212840</v>
      </c>
      <c r="I33" s="4" t="s">
        <v>96</v>
      </c>
    </row>
    <row r="34" spans="1:10" s="108" customFormat="1" ht="14.1" customHeight="1">
      <c r="A34" s="734">
        <f>G39+G41</f>
        <v>101113620</v>
      </c>
      <c r="B34" s="413" t="s">
        <v>227</v>
      </c>
      <c r="C34" s="412" t="s">
        <v>226</v>
      </c>
      <c r="D34" s="112">
        <v>900000</v>
      </c>
      <c r="E34" s="112"/>
      <c r="F34" s="420">
        <f>G34/13</f>
        <v>63060</v>
      </c>
      <c r="G34" s="420">
        <v>819780</v>
      </c>
      <c r="I34" s="4" t="s">
        <v>96</v>
      </c>
    </row>
    <row r="35" spans="1:10" s="108" customFormat="1" ht="14.1" customHeight="1">
      <c r="A35" s="734"/>
      <c r="B35" s="515" t="s">
        <v>243</v>
      </c>
      <c r="C35" s="412" t="s">
        <v>226</v>
      </c>
      <c r="D35" s="112">
        <v>150000</v>
      </c>
      <c r="E35" s="112"/>
      <c r="F35" s="420">
        <f>G35/12</f>
        <v>69583.333333333328</v>
      </c>
      <c r="G35" s="420">
        <v>835000</v>
      </c>
      <c r="I35" s="4" t="s">
        <v>96</v>
      </c>
    </row>
    <row r="36" spans="1:10" s="108" customFormat="1" ht="14.1" customHeight="1">
      <c r="A36" s="734"/>
      <c r="B36" s="413" t="s">
        <v>244</v>
      </c>
      <c r="C36" s="412" t="s">
        <v>226</v>
      </c>
      <c r="D36" s="112"/>
      <c r="E36" s="112"/>
      <c r="F36" s="420">
        <f>G36/12</f>
        <v>4166.666666666667</v>
      </c>
      <c r="G36" s="420">
        <v>50000</v>
      </c>
      <c r="I36" s="4" t="s">
        <v>96</v>
      </c>
    </row>
    <row r="37" spans="1:10" s="108" customFormat="1" ht="14.1" customHeight="1">
      <c r="A37" s="734"/>
      <c r="B37" s="413" t="s">
        <v>245</v>
      </c>
      <c r="C37" s="412" t="s">
        <v>226</v>
      </c>
      <c r="D37" s="112">
        <f>2300000-718000</f>
        <v>1582000</v>
      </c>
      <c r="E37" s="112"/>
      <c r="F37" s="420">
        <f>G37/12</f>
        <v>25000</v>
      </c>
      <c r="G37" s="420">
        <v>300000</v>
      </c>
      <c r="I37" s="4" t="s">
        <v>96</v>
      </c>
      <c r="J37" s="305"/>
    </row>
    <row r="38" spans="1:10" s="108" customFormat="1" ht="14.1" customHeight="1">
      <c r="A38" s="734"/>
      <c r="B38" s="413" t="s">
        <v>246</v>
      </c>
      <c r="C38" s="412" t="s">
        <v>226</v>
      </c>
      <c r="D38" s="112"/>
      <c r="E38" s="112"/>
      <c r="F38" s="420">
        <v>0</v>
      </c>
      <c r="G38" s="420">
        <f>F38*12</f>
        <v>0</v>
      </c>
      <c r="I38" s="4" t="s">
        <v>96</v>
      </c>
    </row>
    <row r="39" spans="1:10" s="108" customFormat="1" ht="19.5" customHeight="1">
      <c r="A39" s="734"/>
      <c r="B39" s="415" t="s">
        <v>232</v>
      </c>
      <c r="C39" s="323"/>
      <c r="D39" s="323">
        <f>SUM(D33:D37)</f>
        <v>44129000</v>
      </c>
      <c r="E39" s="324">
        <f>SUM(E33:E38)</f>
        <v>0</v>
      </c>
      <c r="F39" s="416">
        <f>SUM(F33:F38)</f>
        <v>7179546.666666667</v>
      </c>
      <c r="G39" s="416">
        <f>SUM(G33:G38)</f>
        <v>86217620</v>
      </c>
      <c r="I39" s="4"/>
    </row>
    <row r="40" spans="1:10" s="108" customFormat="1" ht="14.1" customHeight="1">
      <c r="A40" s="734"/>
      <c r="B40" s="115" t="s">
        <v>247</v>
      </c>
      <c r="C40" s="412" t="s">
        <v>226</v>
      </c>
      <c r="D40" s="112">
        <v>4146850</v>
      </c>
      <c r="E40" s="112"/>
      <c r="F40" s="420">
        <f>G40/13</f>
        <v>1145846.1538461538</v>
      </c>
      <c r="G40" s="420">
        <v>14896000</v>
      </c>
      <c r="I40" s="4" t="s">
        <v>96</v>
      </c>
    </row>
    <row r="41" spans="1:10" s="108" customFormat="1" ht="19.5" customHeight="1">
      <c r="A41" s="734"/>
      <c r="B41" s="415" t="s">
        <v>234</v>
      </c>
      <c r="C41" s="320"/>
      <c r="D41" s="320">
        <f>D40</f>
        <v>4146850</v>
      </c>
      <c r="E41" s="321">
        <f>E40</f>
        <v>0</v>
      </c>
      <c r="F41" s="416">
        <f>F40</f>
        <v>1145846.1538461538</v>
      </c>
      <c r="G41" s="416">
        <f>G40</f>
        <v>14896000</v>
      </c>
    </row>
    <row r="42" spans="1:10" s="108" customFormat="1" ht="19.5" customHeight="1">
      <c r="A42" s="427" t="s">
        <v>235</v>
      </c>
      <c r="B42" s="110"/>
      <c r="C42" s="412"/>
      <c r="D42" s="112">
        <v>660000</v>
      </c>
      <c r="E42" s="112">
        <v>0</v>
      </c>
      <c r="F42" s="122"/>
      <c r="G42" s="122"/>
      <c r="I42" s="114"/>
    </row>
    <row r="43" spans="1:10" s="108" customFormat="1" ht="14.1" customHeight="1">
      <c r="A43" s="734">
        <f>G47</f>
        <v>4072000</v>
      </c>
      <c r="B43" s="413" t="s">
        <v>236</v>
      </c>
      <c r="C43" s="412" t="s">
        <v>226</v>
      </c>
      <c r="D43" s="112">
        <v>80000</v>
      </c>
      <c r="E43" s="112">
        <v>7500</v>
      </c>
      <c r="F43" s="420">
        <f>G43/12</f>
        <v>17500</v>
      </c>
      <c r="G43" s="420">
        <v>210000</v>
      </c>
      <c r="I43" s="3" t="s">
        <v>63</v>
      </c>
    </row>
    <row r="44" spans="1:10" s="108" customFormat="1" ht="14.1" customHeight="1">
      <c r="A44" s="734"/>
      <c r="B44" s="413" t="s">
        <v>237</v>
      </c>
      <c r="C44" s="412" t="s">
        <v>226</v>
      </c>
      <c r="D44" s="112"/>
      <c r="E44" s="112"/>
      <c r="F44" s="420">
        <f>G44/12</f>
        <v>300000</v>
      </c>
      <c r="G44" s="420">
        <v>3600000</v>
      </c>
      <c r="I44" s="3" t="s">
        <v>63</v>
      </c>
    </row>
    <row r="45" spans="1:10" s="108" customFormat="1" ht="14.1" customHeight="1">
      <c r="A45" s="734"/>
      <c r="B45" s="413" t="s">
        <v>248</v>
      </c>
      <c r="C45" s="412" t="s">
        <v>226</v>
      </c>
      <c r="D45" s="112">
        <v>400000</v>
      </c>
      <c r="E45" s="112">
        <v>13750</v>
      </c>
      <c r="F45" s="420">
        <f>G45/12</f>
        <v>21000</v>
      </c>
      <c r="G45" s="420">
        <v>252000</v>
      </c>
      <c r="I45" s="3" t="s">
        <v>63</v>
      </c>
    </row>
    <row r="46" spans="1:10" s="108" customFormat="1" ht="14.1" customHeight="1">
      <c r="A46" s="734"/>
      <c r="B46" s="413" t="s">
        <v>249</v>
      </c>
      <c r="C46" s="412" t="s">
        <v>226</v>
      </c>
      <c r="D46" s="112">
        <v>100000</v>
      </c>
      <c r="E46" s="112">
        <v>0</v>
      </c>
      <c r="F46" s="420">
        <f>G46/12</f>
        <v>833.33333333333337</v>
      </c>
      <c r="G46" s="420">
        <v>10000</v>
      </c>
      <c r="I46" s="3" t="s">
        <v>63</v>
      </c>
    </row>
    <row r="47" spans="1:10" s="108" customFormat="1" ht="21.75" customHeight="1">
      <c r="A47" s="734"/>
      <c r="B47" s="415" t="s">
        <v>240</v>
      </c>
      <c r="C47" s="318"/>
      <c r="D47" s="318">
        <f>SUM(D42:D46)</f>
        <v>1240000</v>
      </c>
      <c r="E47" s="322">
        <f>SUM(E42:E46)</f>
        <v>21250</v>
      </c>
      <c r="F47" s="416">
        <f>SUM(F42:F46)</f>
        <v>339333.33333333331</v>
      </c>
      <c r="G47" s="416">
        <f>SUM(G42:G46)</f>
        <v>4072000</v>
      </c>
      <c r="H47" s="118"/>
    </row>
    <row r="48" spans="1:10" s="108" customFormat="1" ht="18.75" customHeight="1">
      <c r="B48" s="120"/>
      <c r="F48" s="421" t="s">
        <v>250</v>
      </c>
      <c r="G48" s="423">
        <f>G33+G34+G35+G37+G38+G40+G36</f>
        <v>101113620</v>
      </c>
    </row>
    <row r="49" spans="1:9" s="108" customFormat="1" ht="19.5" customHeight="1">
      <c r="B49" s="120"/>
      <c r="F49" s="422" t="s">
        <v>107</v>
      </c>
      <c r="G49" s="423">
        <f>G43+G44+G45+G46</f>
        <v>4072000</v>
      </c>
    </row>
    <row r="50" spans="1:9" s="108" customFormat="1" ht="14.1" customHeight="1">
      <c r="B50" s="120"/>
    </row>
    <row r="51" spans="1:9" s="108" customFormat="1" ht="12" customHeight="1">
      <c r="A51" s="738" t="s">
        <v>52</v>
      </c>
      <c r="B51" s="739"/>
      <c r="C51" s="742" t="s">
        <v>3</v>
      </c>
      <c r="D51" s="309" t="s">
        <v>219</v>
      </c>
      <c r="E51" s="310" t="s">
        <v>220</v>
      </c>
      <c r="F51" s="310" t="s">
        <v>54</v>
      </c>
      <c r="G51" s="311" t="s">
        <v>4</v>
      </c>
    </row>
    <row r="52" spans="1:9" s="108" customFormat="1" ht="12" customHeight="1">
      <c r="A52" s="740"/>
      <c r="B52" s="746"/>
      <c r="C52" s="743"/>
      <c r="D52" s="306" t="s">
        <v>221</v>
      </c>
      <c r="E52" s="306" t="s">
        <v>222</v>
      </c>
      <c r="F52" s="306">
        <f>G2</f>
        <v>2027</v>
      </c>
      <c r="G52" s="306">
        <f>G2</f>
        <v>2027</v>
      </c>
      <c r="I52" s="200"/>
    </row>
    <row r="53" spans="1:9" s="108" customFormat="1" ht="21.75" customHeight="1">
      <c r="A53" s="428" t="s">
        <v>193</v>
      </c>
      <c r="B53" s="425" t="s">
        <v>251</v>
      </c>
      <c r="C53" s="316"/>
      <c r="D53" s="426"/>
      <c r="E53" s="336"/>
      <c r="F53" s="408">
        <f>F57</f>
        <v>8141.083333333333</v>
      </c>
      <c r="G53" s="408">
        <f>G57+G55</f>
        <v>826815</v>
      </c>
    </row>
    <row r="54" spans="1:9" s="108" customFormat="1" ht="20.25" customHeight="1">
      <c r="A54" s="734">
        <f>G55</f>
        <v>729122</v>
      </c>
      <c r="B54" s="424" t="s">
        <v>228</v>
      </c>
      <c r="C54" s="412" t="s">
        <v>226</v>
      </c>
      <c r="D54" s="329"/>
      <c r="E54" s="328"/>
      <c r="F54" s="429">
        <f>G54/12</f>
        <v>60760.166666666664</v>
      </c>
      <c r="G54" s="429">
        <v>729122</v>
      </c>
      <c r="H54" s="118"/>
      <c r="I54" s="4" t="s">
        <v>96</v>
      </c>
    </row>
    <row r="55" spans="1:9" s="108" customFormat="1" ht="19.5" customHeight="1">
      <c r="A55" s="735"/>
      <c r="B55" s="415" t="s">
        <v>232</v>
      </c>
      <c r="C55" s="330"/>
      <c r="D55" s="330"/>
      <c r="E55" s="331"/>
      <c r="F55" s="416">
        <f>F54</f>
        <v>60760.166666666664</v>
      </c>
      <c r="G55" s="416">
        <f>G54</f>
        <v>729122</v>
      </c>
      <c r="H55" s="118"/>
    </row>
    <row r="56" spans="1:9" s="108" customFormat="1" ht="20.25" customHeight="1">
      <c r="A56" s="748">
        <f>G57</f>
        <v>97693</v>
      </c>
      <c r="B56" s="424" t="s">
        <v>252</v>
      </c>
      <c r="C56" s="412" t="s">
        <v>226</v>
      </c>
      <c r="D56" s="333">
        <v>120000</v>
      </c>
      <c r="E56" s="334"/>
      <c r="F56" s="429">
        <f>G56/12</f>
        <v>8141.083333333333</v>
      </c>
      <c r="G56" s="429">
        <v>97693</v>
      </c>
      <c r="I56" s="3" t="s">
        <v>63</v>
      </c>
    </row>
    <row r="57" spans="1:9" s="108" customFormat="1" ht="20.25" customHeight="1">
      <c r="A57" s="748"/>
      <c r="B57" s="415" t="s">
        <v>240</v>
      </c>
      <c r="C57" s="335"/>
      <c r="D57" s="335">
        <f>SUM(D56:D56)</f>
        <v>120000</v>
      </c>
      <c r="E57" s="332">
        <f>SUM(E56:E56)</f>
        <v>0</v>
      </c>
      <c r="F57" s="416">
        <f>SUM(F56:F56)</f>
        <v>8141.083333333333</v>
      </c>
      <c r="G57" s="416">
        <f>SUM(G56:G56)</f>
        <v>97693</v>
      </c>
    </row>
    <row r="58" spans="1:9" s="108" customFormat="1" ht="17.25" customHeight="1">
      <c r="A58" s="124"/>
      <c r="B58" s="120"/>
      <c r="C58" s="125"/>
      <c r="D58" s="125"/>
      <c r="E58" s="121"/>
      <c r="F58" s="421" t="s">
        <v>241</v>
      </c>
      <c r="G58" s="430">
        <f>G54</f>
        <v>729122</v>
      </c>
    </row>
    <row r="59" spans="1:9" s="108" customFormat="1" ht="18" customHeight="1">
      <c r="A59" s="124"/>
      <c r="B59" s="120"/>
      <c r="C59" s="125"/>
      <c r="D59" s="125"/>
      <c r="E59" s="121"/>
      <c r="F59" s="422" t="s">
        <v>107</v>
      </c>
      <c r="G59" s="430">
        <f>G56</f>
        <v>97693</v>
      </c>
    </row>
    <row r="60" spans="1:9" s="108" customFormat="1" ht="15" customHeight="1">
      <c r="A60" s="124"/>
      <c r="B60" s="120"/>
      <c r="C60" s="125"/>
      <c r="D60" s="125"/>
      <c r="E60" s="121"/>
      <c r="F60" s="91"/>
      <c r="G60" s="308"/>
    </row>
    <row r="61" spans="1:9" s="108" customFormat="1" ht="15" customHeight="1">
      <c r="A61" s="738" t="s">
        <v>52</v>
      </c>
      <c r="B61" s="739"/>
      <c r="C61" s="742" t="s">
        <v>3</v>
      </c>
      <c r="D61" s="309" t="s">
        <v>219</v>
      </c>
      <c r="E61" s="310" t="s">
        <v>220</v>
      </c>
      <c r="F61" s="310" t="s">
        <v>54</v>
      </c>
      <c r="G61" s="311" t="s">
        <v>4</v>
      </c>
    </row>
    <row r="62" spans="1:9" s="108" customFormat="1" ht="15" customHeight="1">
      <c r="A62" s="745"/>
      <c r="B62" s="746"/>
      <c r="C62" s="742"/>
      <c r="D62" s="306" t="s">
        <v>221</v>
      </c>
      <c r="E62" s="306" t="s">
        <v>222</v>
      </c>
      <c r="F62" s="306">
        <f>G2</f>
        <v>2027</v>
      </c>
      <c r="G62" s="306">
        <f>G2</f>
        <v>2027</v>
      </c>
    </row>
    <row r="63" spans="1:9" s="108" customFormat="1" ht="21.75" customHeight="1">
      <c r="A63" s="434" t="s">
        <v>58</v>
      </c>
      <c r="B63" s="512" t="s">
        <v>253</v>
      </c>
      <c r="C63" s="313"/>
      <c r="D63" s="314"/>
      <c r="E63" s="314"/>
      <c r="F63" s="408">
        <f>F65+F69+F71</f>
        <v>58333.333333333336</v>
      </c>
      <c r="G63" s="408">
        <f>G65+G69+G71</f>
        <v>700000</v>
      </c>
      <c r="I63" s="200"/>
    </row>
    <row r="64" spans="1:9" s="108" customFormat="1" ht="18" customHeight="1">
      <c r="A64" s="749">
        <f>G65</f>
        <v>375700</v>
      </c>
      <c r="B64" s="424" t="s">
        <v>228</v>
      </c>
      <c r="C64" s="433">
        <v>1500</v>
      </c>
      <c r="D64" s="126"/>
      <c r="E64" s="123"/>
      <c r="F64" s="429">
        <f>G64/12</f>
        <v>31308.333333333332</v>
      </c>
      <c r="G64" s="429">
        <v>375700</v>
      </c>
      <c r="I64" s="4" t="s">
        <v>96</v>
      </c>
    </row>
    <row r="65" spans="1:10" s="108" customFormat="1" ht="18.75" customHeight="1">
      <c r="A65" s="749"/>
      <c r="B65" s="431" t="s">
        <v>232</v>
      </c>
      <c r="C65" s="330"/>
      <c r="D65" s="432"/>
      <c r="E65" s="307"/>
      <c r="F65" s="416">
        <f>F64</f>
        <v>31308.333333333332</v>
      </c>
      <c r="G65" s="416">
        <f>G64</f>
        <v>375700</v>
      </c>
    </row>
    <row r="66" spans="1:10" s="108" customFormat="1" ht="15" customHeight="1">
      <c r="A66" s="744">
        <f>G69</f>
        <v>196154</v>
      </c>
      <c r="B66" s="424" t="s">
        <v>252</v>
      </c>
      <c r="C66" s="412" t="s">
        <v>226</v>
      </c>
      <c r="D66" s="127">
        <v>120000</v>
      </c>
      <c r="E66" s="112"/>
      <c r="F66" s="429">
        <f>G66/12</f>
        <v>4583.333333333333</v>
      </c>
      <c r="G66" s="429">
        <v>55000</v>
      </c>
      <c r="H66" s="118"/>
      <c r="I66" s="3" t="s">
        <v>63</v>
      </c>
    </row>
    <row r="67" spans="1:10" s="108" customFormat="1" ht="14.25" customHeight="1">
      <c r="A67" s="744"/>
      <c r="B67" s="424" t="s">
        <v>254</v>
      </c>
      <c r="C67" s="412" t="s">
        <v>226</v>
      </c>
      <c r="D67" s="127">
        <v>90000</v>
      </c>
      <c r="E67" s="112"/>
      <c r="F67" s="429">
        <v>0</v>
      </c>
      <c r="G67" s="429">
        <f>F67*12</f>
        <v>0</v>
      </c>
      <c r="H67" s="118"/>
      <c r="I67" s="3" t="s">
        <v>63</v>
      </c>
    </row>
    <row r="68" spans="1:10" s="108" customFormat="1" ht="15" customHeight="1">
      <c r="A68" s="744"/>
      <c r="B68" s="424" t="s">
        <v>255</v>
      </c>
      <c r="C68" s="412" t="s">
        <v>226</v>
      </c>
      <c r="D68" s="127">
        <v>30000</v>
      </c>
      <c r="E68" s="112"/>
      <c r="F68" s="429">
        <f>G68/12</f>
        <v>11762.833333333334</v>
      </c>
      <c r="G68" s="429">
        <v>141154</v>
      </c>
      <c r="H68" s="118"/>
      <c r="I68" s="3" t="s">
        <v>63</v>
      </c>
    </row>
    <row r="69" spans="1:10" s="108" customFormat="1" ht="18.75" customHeight="1">
      <c r="A69" s="744"/>
      <c r="B69" s="415" t="s">
        <v>240</v>
      </c>
      <c r="C69" s="323"/>
      <c r="D69" s="323">
        <f>SUM(D66:D68)</f>
        <v>240000</v>
      </c>
      <c r="E69" s="324">
        <f>SUM(E66:E68)</f>
        <v>0</v>
      </c>
      <c r="F69" s="416">
        <f>SUM(F66:F68)</f>
        <v>16346.166666666668</v>
      </c>
      <c r="G69" s="416">
        <f>SUM(G66:G68)</f>
        <v>196154</v>
      </c>
      <c r="H69" s="118"/>
      <c r="I69" s="118"/>
      <c r="J69" s="118"/>
    </row>
    <row r="70" spans="1:10" s="108" customFormat="1" ht="19.5" customHeight="1">
      <c r="A70" s="744">
        <f>G71</f>
        <v>128146</v>
      </c>
      <c r="B70" s="424" t="s">
        <v>191</v>
      </c>
      <c r="C70" s="412" t="s">
        <v>226</v>
      </c>
      <c r="D70" s="127">
        <v>50000</v>
      </c>
      <c r="E70" s="113">
        <v>0</v>
      </c>
      <c r="F70" s="429">
        <f>G70/12</f>
        <v>10678.833333333334</v>
      </c>
      <c r="G70" s="429">
        <v>128146</v>
      </c>
      <c r="I70" s="3" t="s">
        <v>63</v>
      </c>
    </row>
    <row r="71" spans="1:10" s="108" customFormat="1" ht="19.5" customHeight="1">
      <c r="A71" s="744"/>
      <c r="B71" s="415" t="s">
        <v>256</v>
      </c>
      <c r="C71" s="412"/>
      <c r="D71" s="319">
        <f>D70</f>
        <v>50000</v>
      </c>
      <c r="E71" s="319">
        <f>E70</f>
        <v>0</v>
      </c>
      <c r="F71" s="416">
        <f>F70</f>
        <v>10678.833333333334</v>
      </c>
      <c r="G71" s="416">
        <f>G70</f>
        <v>128146</v>
      </c>
    </row>
    <row r="72" spans="1:10" s="108" customFormat="1" ht="12.75" customHeight="1">
      <c r="A72" s="128"/>
      <c r="B72" s="120"/>
      <c r="C72" s="412"/>
      <c r="D72" s="121"/>
      <c r="E72" s="121"/>
      <c r="F72" s="421" t="s">
        <v>241</v>
      </c>
      <c r="G72" s="328">
        <f>G64</f>
        <v>375700</v>
      </c>
    </row>
    <row r="73" spans="1:10" s="108" customFormat="1" ht="12.75" customHeight="1">
      <c r="A73" s="128"/>
      <c r="B73" s="120"/>
      <c r="C73" s="121"/>
      <c r="D73" s="121"/>
      <c r="E73" s="121"/>
      <c r="F73" s="422" t="s">
        <v>107</v>
      </c>
      <c r="G73" s="328">
        <f>G66+G67+G68</f>
        <v>196154</v>
      </c>
    </row>
    <row r="74" spans="1:10" s="108" customFormat="1" ht="12.75" customHeight="1">
      <c r="A74" s="128"/>
      <c r="B74" s="120"/>
      <c r="C74" s="121"/>
      <c r="D74" s="121"/>
      <c r="E74" s="121"/>
      <c r="F74" s="422" t="s">
        <v>108</v>
      </c>
      <c r="G74" s="328">
        <f>G70</f>
        <v>128146</v>
      </c>
    </row>
    <row r="75" spans="1:10" s="108" customFormat="1" ht="12.75" customHeight="1">
      <c r="A75" s="128"/>
      <c r="B75" s="120"/>
      <c r="C75" s="121"/>
      <c r="D75" s="121"/>
      <c r="E75" s="121"/>
      <c r="F75" s="91"/>
      <c r="G75" s="308"/>
    </row>
    <row r="76" spans="1:10" s="108" customFormat="1" ht="12.75" customHeight="1">
      <c r="A76" s="738" t="s">
        <v>52</v>
      </c>
      <c r="B76" s="739"/>
      <c r="C76" s="742" t="s">
        <v>3</v>
      </c>
      <c r="D76" s="309" t="s">
        <v>219</v>
      </c>
      <c r="E76" s="310" t="s">
        <v>220</v>
      </c>
      <c r="F76" s="310" t="s">
        <v>54</v>
      </c>
      <c r="G76" s="311" t="s">
        <v>4</v>
      </c>
    </row>
    <row r="77" spans="1:10" s="108" customFormat="1" ht="12.75" customHeight="1">
      <c r="A77" s="740"/>
      <c r="B77" s="741"/>
      <c r="C77" s="743"/>
      <c r="D77" s="306" t="s">
        <v>221</v>
      </c>
      <c r="E77" s="306" t="s">
        <v>222</v>
      </c>
      <c r="F77" s="306">
        <f>G2</f>
        <v>2027</v>
      </c>
      <c r="G77" s="306">
        <f>G2</f>
        <v>2027</v>
      </c>
    </row>
    <row r="78" spans="1:10" s="108" customFormat="1" ht="23.25" customHeight="1">
      <c r="A78" s="434" t="s">
        <v>257</v>
      </c>
      <c r="B78" s="435" t="s">
        <v>258</v>
      </c>
      <c r="C78" s="316"/>
      <c r="D78" s="317"/>
      <c r="E78" s="314"/>
      <c r="F78" s="408">
        <f>F79</f>
        <v>663750</v>
      </c>
      <c r="G78" s="408">
        <f>G80</f>
        <v>7965000</v>
      </c>
      <c r="I78" s="200"/>
    </row>
    <row r="79" spans="1:10" s="108" customFormat="1" ht="19.5" customHeight="1">
      <c r="A79" s="747">
        <f>G80</f>
        <v>7965000</v>
      </c>
      <c r="B79" s="424" t="s">
        <v>259</v>
      </c>
      <c r="C79" s="412" t="s">
        <v>226</v>
      </c>
      <c r="E79" s="129">
        <v>450000</v>
      </c>
      <c r="F79" s="429">
        <f>G79/12</f>
        <v>663750</v>
      </c>
      <c r="G79" s="429">
        <v>7965000</v>
      </c>
      <c r="I79" s="4" t="s">
        <v>96</v>
      </c>
    </row>
    <row r="80" spans="1:10" s="108" customFormat="1" ht="21" customHeight="1">
      <c r="A80" s="747"/>
      <c r="B80" s="415" t="s">
        <v>234</v>
      </c>
      <c r="C80" s="325"/>
      <c r="D80" s="325"/>
      <c r="E80" s="326">
        <f>E79</f>
        <v>450000</v>
      </c>
      <c r="F80" s="416">
        <f>F79</f>
        <v>663750</v>
      </c>
      <c r="G80" s="416">
        <f>G79</f>
        <v>7965000</v>
      </c>
    </row>
    <row r="81" spans="1:14" s="108" customFormat="1" ht="18" customHeight="1">
      <c r="B81" s="120"/>
      <c r="E81" s="118"/>
      <c r="F81" s="421" t="s">
        <v>241</v>
      </c>
      <c r="G81" s="430">
        <f>G79</f>
        <v>7965000</v>
      </c>
      <c r="J81" s="117"/>
    </row>
    <row r="82" spans="1:14" s="108" customFormat="1" ht="15.75" customHeight="1">
      <c r="B82" s="120"/>
    </row>
    <row r="83" spans="1:14" s="108" customFormat="1" ht="13.5" customHeight="1">
      <c r="A83" s="738" t="s">
        <v>52</v>
      </c>
      <c r="B83" s="739"/>
      <c r="C83" s="742" t="s">
        <v>3</v>
      </c>
      <c r="D83" s="309" t="s">
        <v>219</v>
      </c>
      <c r="E83" s="310" t="s">
        <v>220</v>
      </c>
      <c r="F83" s="310" t="s">
        <v>54</v>
      </c>
      <c r="G83" s="311" t="s">
        <v>4</v>
      </c>
    </row>
    <row r="84" spans="1:14" s="108" customFormat="1" ht="15" customHeight="1">
      <c r="A84" s="740"/>
      <c r="B84" s="746"/>
      <c r="C84" s="742"/>
      <c r="D84" s="306" t="s">
        <v>221</v>
      </c>
      <c r="E84" s="306" t="s">
        <v>222</v>
      </c>
      <c r="F84" s="306">
        <f>G2</f>
        <v>2027</v>
      </c>
      <c r="G84" s="306">
        <f>G2</f>
        <v>2027</v>
      </c>
      <c r="I84" s="200"/>
    </row>
    <row r="85" spans="1:14" s="108" customFormat="1" ht="22.5" customHeight="1">
      <c r="A85" s="434" t="s">
        <v>109</v>
      </c>
      <c r="B85" s="435" t="s">
        <v>260</v>
      </c>
      <c r="C85" s="313"/>
      <c r="D85" s="314"/>
      <c r="E85" s="314"/>
      <c r="F85" s="408">
        <f>F93+F95+F103</f>
        <v>16319830.500000002</v>
      </c>
      <c r="G85" s="408">
        <f>G93+G95+G103+G105</f>
        <v>198254116</v>
      </c>
      <c r="J85" s="118"/>
    </row>
    <row r="86" spans="1:14" s="108" customFormat="1" ht="18" customHeight="1">
      <c r="A86" s="410" t="s">
        <v>224</v>
      </c>
      <c r="B86" s="110"/>
      <c r="C86" s="412"/>
      <c r="D86" s="112">
        <v>3000</v>
      </c>
      <c r="E86" s="112"/>
      <c r="F86" s="113"/>
      <c r="G86" s="113"/>
      <c r="I86" s="114"/>
    </row>
    <row r="87" spans="1:14" s="108" customFormat="1" ht="15.75" customHeight="1">
      <c r="A87" s="734">
        <f>G93+G95</f>
        <v>195808116</v>
      </c>
      <c r="B87" s="513" t="s">
        <v>261</v>
      </c>
      <c r="C87" s="412" t="s">
        <v>226</v>
      </c>
      <c r="D87" s="112">
        <v>92000000</v>
      </c>
      <c r="E87" s="112"/>
      <c r="F87" s="429">
        <f>G87/12</f>
        <v>13680180.5</v>
      </c>
      <c r="G87" s="429">
        <v>164162166</v>
      </c>
      <c r="I87" s="4" t="s">
        <v>96</v>
      </c>
    </row>
    <row r="88" spans="1:14" s="108" customFormat="1" ht="15.75" customHeight="1">
      <c r="A88" s="734"/>
      <c r="B88" s="424" t="s">
        <v>227</v>
      </c>
      <c r="C88" s="412" t="s">
        <v>226</v>
      </c>
      <c r="D88" s="112">
        <f>6000000-517000</f>
        <v>5483000</v>
      </c>
      <c r="E88" s="112"/>
      <c r="F88" s="429">
        <f>G88/13</f>
        <v>264923.07692307694</v>
      </c>
      <c r="G88" s="429">
        <v>3444000</v>
      </c>
      <c r="I88" s="4" t="s">
        <v>96</v>
      </c>
    </row>
    <row r="89" spans="1:14" s="108" customFormat="1" ht="15.75" customHeight="1">
      <c r="A89" s="734"/>
      <c r="B89" s="424" t="s">
        <v>262</v>
      </c>
      <c r="C89" s="412" t="s">
        <v>226</v>
      </c>
      <c r="D89" s="112">
        <v>250000</v>
      </c>
      <c r="E89" s="112"/>
      <c r="F89" s="429">
        <f>G89/12</f>
        <v>38000</v>
      </c>
      <c r="G89" s="429">
        <v>456000</v>
      </c>
      <c r="I89" s="4" t="s">
        <v>96</v>
      </c>
    </row>
    <row r="90" spans="1:14" s="108" customFormat="1" ht="15.75" customHeight="1">
      <c r="A90" s="734"/>
      <c r="B90" s="424" t="s">
        <v>263</v>
      </c>
      <c r="C90" s="412" t="s">
        <v>226</v>
      </c>
      <c r="D90" s="112"/>
      <c r="E90" s="112"/>
      <c r="F90" s="429">
        <f>G90/12</f>
        <v>12500</v>
      </c>
      <c r="G90" s="429">
        <v>150000</v>
      </c>
      <c r="I90" s="4" t="s">
        <v>96</v>
      </c>
    </row>
    <row r="91" spans="1:14" s="108" customFormat="1" ht="15.75" customHeight="1">
      <c r="A91" s="734"/>
      <c r="B91" s="424" t="s">
        <v>264</v>
      </c>
      <c r="C91" s="412" t="s">
        <v>226</v>
      </c>
      <c r="D91" s="112">
        <v>3500000</v>
      </c>
      <c r="E91" s="112"/>
      <c r="F91" s="429">
        <f>G91/12</f>
        <v>8333.3333333333339</v>
      </c>
      <c r="G91" s="429">
        <v>100000</v>
      </c>
      <c r="I91" s="4" t="s">
        <v>96</v>
      </c>
    </row>
    <row r="92" spans="1:14" s="108" customFormat="1" ht="16.5" customHeight="1">
      <c r="A92" s="734"/>
      <c r="B92" s="424" t="s">
        <v>265</v>
      </c>
      <c r="C92" s="412" t="s">
        <v>226</v>
      </c>
      <c r="D92" s="112">
        <v>572000</v>
      </c>
      <c r="E92" s="112"/>
      <c r="F92" s="429">
        <f>G92/12</f>
        <v>25833.333333333332</v>
      </c>
      <c r="G92" s="429">
        <v>310000</v>
      </c>
      <c r="I92" s="4" t="s">
        <v>96</v>
      </c>
      <c r="J92" s="305"/>
    </row>
    <row r="93" spans="1:14" s="108" customFormat="1" ht="15.75" customHeight="1">
      <c r="A93" s="734"/>
      <c r="B93" s="415" t="s">
        <v>232</v>
      </c>
      <c r="C93" s="327"/>
      <c r="D93" s="327">
        <f>SUM(D86:D92)</f>
        <v>101808000</v>
      </c>
      <c r="E93" s="319">
        <f>SUM(E86:E92)</f>
        <v>0</v>
      </c>
      <c r="F93" s="416">
        <f>SUM(F86:F92)</f>
        <v>14029770.243589744</v>
      </c>
      <c r="G93" s="416">
        <f>SUM(G86:G92)</f>
        <v>168622166</v>
      </c>
    </row>
    <row r="94" spans="1:14" s="108" customFormat="1" ht="19.5" customHeight="1">
      <c r="A94" s="734"/>
      <c r="B94" s="424" t="s">
        <v>233</v>
      </c>
      <c r="C94" s="412" t="s">
        <v>226</v>
      </c>
      <c r="D94" s="112">
        <v>19667000</v>
      </c>
      <c r="E94" s="112"/>
      <c r="F94" s="429">
        <f>G94/13</f>
        <v>2091226.923076923</v>
      </c>
      <c r="G94" s="429">
        <v>27185950</v>
      </c>
      <c r="I94" s="4" t="s">
        <v>96</v>
      </c>
    </row>
    <row r="95" spans="1:14" s="108" customFormat="1" ht="21.75" customHeight="1">
      <c r="A95" s="734"/>
      <c r="B95" s="415" t="s">
        <v>234</v>
      </c>
      <c r="C95" s="319"/>
      <c r="D95" s="319">
        <f>D94</f>
        <v>19667000</v>
      </c>
      <c r="E95" s="319">
        <f>E94</f>
        <v>0</v>
      </c>
      <c r="F95" s="416">
        <f>F94</f>
        <v>2091226.923076923</v>
      </c>
      <c r="G95" s="416">
        <f>G94</f>
        <v>27185950</v>
      </c>
    </row>
    <row r="96" spans="1:14" s="108" customFormat="1" ht="18.75" customHeight="1">
      <c r="A96" s="511" t="s">
        <v>235</v>
      </c>
      <c r="B96" s="424"/>
      <c r="C96" s="111"/>
      <c r="D96" s="130">
        <v>1800000</v>
      </c>
      <c r="E96" s="112">
        <f>600</f>
        <v>600</v>
      </c>
      <c r="F96" s="113"/>
      <c r="G96" s="113"/>
      <c r="I96" s="114"/>
      <c r="J96" s="518"/>
      <c r="K96" s="518"/>
      <c r="L96" s="518"/>
      <c r="M96" s="518"/>
      <c r="N96" s="518"/>
    </row>
    <row r="97" spans="1:14" s="108" customFormat="1" ht="12.6" customHeight="1">
      <c r="A97" s="734">
        <f>G103</f>
        <v>2386000</v>
      </c>
      <c r="B97" s="424" t="s">
        <v>266</v>
      </c>
      <c r="C97" s="412" t="s">
        <v>226</v>
      </c>
      <c r="D97" s="112">
        <v>300000</v>
      </c>
      <c r="E97" s="112">
        <v>20000</v>
      </c>
      <c r="F97" s="429">
        <f t="shared" ref="F97:F102" si="0">G97/12</f>
        <v>25000</v>
      </c>
      <c r="G97" s="429">
        <v>300000</v>
      </c>
      <c r="I97" s="436" t="s">
        <v>63</v>
      </c>
      <c r="J97" s="518"/>
      <c r="K97" s="518"/>
      <c r="L97" s="518"/>
      <c r="M97" s="518"/>
      <c r="N97" s="518"/>
    </row>
    <row r="98" spans="1:14" s="108" customFormat="1" ht="13.5" customHeight="1">
      <c r="A98" s="734"/>
      <c r="B98" s="424" t="s">
        <v>237</v>
      </c>
      <c r="C98" s="412" t="s">
        <v>226</v>
      </c>
      <c r="D98" s="112"/>
      <c r="E98" s="112"/>
      <c r="F98" s="429">
        <f t="shared" si="0"/>
        <v>100000</v>
      </c>
      <c r="G98" s="429">
        <v>1200000</v>
      </c>
      <c r="I98" s="436" t="s">
        <v>63</v>
      </c>
      <c r="J98" s="518"/>
      <c r="K98" s="519"/>
      <c r="L98" s="518"/>
      <c r="M98" s="520"/>
      <c r="N98" s="518"/>
    </row>
    <row r="99" spans="1:14" s="108" customFormat="1" ht="14.25" customHeight="1">
      <c r="A99" s="734"/>
      <c r="B99" s="424" t="s">
        <v>267</v>
      </c>
      <c r="C99" s="412" t="s">
        <v>226</v>
      </c>
      <c r="D99" s="112">
        <v>350000</v>
      </c>
      <c r="E99" s="112">
        <v>17500</v>
      </c>
      <c r="F99" s="429">
        <f t="shared" si="0"/>
        <v>43750</v>
      </c>
      <c r="G99" s="429">
        <v>525000</v>
      </c>
      <c r="I99" s="436" t="s">
        <v>63</v>
      </c>
      <c r="J99" s="518"/>
      <c r="K99" s="518"/>
      <c r="L99" s="518"/>
      <c r="M99" s="518"/>
      <c r="N99" s="518"/>
    </row>
    <row r="100" spans="1:14" s="108" customFormat="1" ht="14.25" customHeight="1">
      <c r="A100" s="734"/>
      <c r="B100" s="424" t="s">
        <v>268</v>
      </c>
      <c r="C100" s="412" t="s">
        <v>226</v>
      </c>
      <c r="D100" s="112">
        <v>350000</v>
      </c>
      <c r="E100" s="112">
        <v>11000</v>
      </c>
      <c r="F100" s="429">
        <f t="shared" si="0"/>
        <v>27916.666666666668</v>
      </c>
      <c r="G100" s="429">
        <v>335000</v>
      </c>
      <c r="I100" s="436" t="s">
        <v>63</v>
      </c>
    </row>
    <row r="101" spans="1:14" s="108" customFormat="1" ht="15" customHeight="1">
      <c r="A101" s="734"/>
      <c r="B101" s="424" t="s">
        <v>269</v>
      </c>
      <c r="C101" s="412" t="s">
        <v>226</v>
      </c>
      <c r="D101" s="112"/>
      <c r="E101" s="112"/>
      <c r="F101" s="429">
        <f t="shared" si="0"/>
        <v>500</v>
      </c>
      <c r="G101" s="429">
        <v>6000</v>
      </c>
      <c r="I101" s="436" t="s">
        <v>63</v>
      </c>
    </row>
    <row r="102" spans="1:14" s="108" customFormat="1" ht="15" customHeight="1">
      <c r="A102" s="734"/>
      <c r="B102" s="424" t="s">
        <v>270</v>
      </c>
      <c r="C102" s="412" t="s">
        <v>226</v>
      </c>
      <c r="D102" s="112">
        <v>353000</v>
      </c>
      <c r="E102" s="112">
        <v>5000</v>
      </c>
      <c r="F102" s="429">
        <f t="shared" si="0"/>
        <v>1666.6666666666667</v>
      </c>
      <c r="G102" s="429">
        <v>20000</v>
      </c>
      <c r="I102" s="436" t="s">
        <v>63</v>
      </c>
    </row>
    <row r="103" spans="1:14" s="108" customFormat="1" ht="15.75" customHeight="1">
      <c r="A103" s="734"/>
      <c r="B103" s="415" t="s">
        <v>240</v>
      </c>
      <c r="C103" s="319"/>
      <c r="D103" s="319">
        <f>SUM(D96:D102)</f>
        <v>3153000</v>
      </c>
      <c r="E103" s="319">
        <f>SUM(E96:E102)</f>
        <v>54100</v>
      </c>
      <c r="F103" s="416">
        <f>SUM(F96:F102)</f>
        <v>198833.33333333331</v>
      </c>
      <c r="G103" s="416">
        <f>SUM(G96:G102)</f>
        <v>2386000</v>
      </c>
      <c r="H103" s="118"/>
    </row>
    <row r="104" spans="1:14" s="108" customFormat="1" ht="18" customHeight="1">
      <c r="A104" s="735"/>
      <c r="B104" s="424" t="s">
        <v>271</v>
      </c>
      <c r="C104" s="412" t="s">
        <v>226</v>
      </c>
      <c r="D104" s="112"/>
      <c r="E104" s="112"/>
      <c r="F104" s="429">
        <f>G104/12</f>
        <v>5000</v>
      </c>
      <c r="G104" s="429">
        <v>60000</v>
      </c>
      <c r="H104" s="118"/>
      <c r="I104" s="3" t="s">
        <v>63</v>
      </c>
    </row>
    <row r="105" spans="1:14" s="108" customFormat="1" ht="21.75" customHeight="1">
      <c r="A105" s="507">
        <f>G105</f>
        <v>60000</v>
      </c>
      <c r="B105" s="415" t="s">
        <v>272</v>
      </c>
      <c r="C105" s="319"/>
      <c r="D105" s="319"/>
      <c r="E105" s="319"/>
      <c r="F105" s="416">
        <f>F104</f>
        <v>5000</v>
      </c>
      <c r="G105" s="416">
        <f>G104</f>
        <v>60000</v>
      </c>
      <c r="H105" s="118"/>
    </row>
    <row r="106" spans="1:14" s="108" customFormat="1" ht="16.5" customHeight="1">
      <c r="B106" s="131"/>
      <c r="F106" s="421" t="s">
        <v>241</v>
      </c>
      <c r="G106" s="437">
        <f>G86+G87+G88+G89+G91+G92+G94+G90</f>
        <v>195808116</v>
      </c>
    </row>
    <row r="107" spans="1:14" s="108" customFormat="1" ht="16.5" customHeight="1">
      <c r="B107" s="131"/>
      <c r="F107" s="422" t="s">
        <v>107</v>
      </c>
      <c r="G107" s="437">
        <f>G97+G98+G99+G100+G101+G102+G104</f>
        <v>2446000</v>
      </c>
    </row>
    <row r="108" spans="1:14" s="108" customFormat="1" ht="12.75" customHeight="1">
      <c r="B108" s="131"/>
      <c r="F108" s="91"/>
      <c r="G108" s="308"/>
    </row>
    <row r="109" spans="1:14" s="108" customFormat="1" ht="12.75" customHeight="1">
      <c r="A109" s="738" t="s">
        <v>52</v>
      </c>
      <c r="B109" s="739"/>
      <c r="C109" s="742" t="s">
        <v>3</v>
      </c>
      <c r="D109" s="309" t="s">
        <v>219</v>
      </c>
      <c r="E109" s="310" t="s">
        <v>220</v>
      </c>
      <c r="F109" s="310" t="s">
        <v>54</v>
      </c>
      <c r="G109" s="311" t="s">
        <v>4</v>
      </c>
    </row>
    <row r="110" spans="1:14" s="108" customFormat="1" ht="12.75" customHeight="1">
      <c r="A110" s="740"/>
      <c r="B110" s="741"/>
      <c r="C110" s="743"/>
      <c r="D110" s="359" t="s">
        <v>221</v>
      </c>
      <c r="E110" s="359" t="s">
        <v>222</v>
      </c>
      <c r="F110" s="359">
        <f>G2</f>
        <v>2027</v>
      </c>
      <c r="G110" s="359">
        <f>G2</f>
        <v>2027</v>
      </c>
      <c r="I110" s="200"/>
    </row>
    <row r="111" spans="1:14" s="108" customFormat="1" ht="18.75" customHeight="1">
      <c r="A111" s="434" t="s">
        <v>144</v>
      </c>
      <c r="B111" s="435" t="s">
        <v>273</v>
      </c>
      <c r="C111" s="316"/>
      <c r="D111" s="316"/>
      <c r="E111" s="316"/>
      <c r="F111" s="408">
        <f>F113</f>
        <v>83.333333333333329</v>
      </c>
      <c r="G111" s="408">
        <f>G113</f>
        <v>1000</v>
      </c>
    </row>
    <row r="112" spans="1:14" s="108" customFormat="1" ht="18.75" customHeight="1">
      <c r="A112" s="744">
        <f>G113</f>
        <v>1000</v>
      </c>
      <c r="B112" s="424" t="s">
        <v>191</v>
      </c>
      <c r="C112" s="412" t="s">
        <v>226</v>
      </c>
      <c r="D112" s="127">
        <v>50000</v>
      </c>
      <c r="E112" s="113">
        <v>0</v>
      </c>
      <c r="F112" s="429">
        <f>G112/12</f>
        <v>83.333333333333329</v>
      </c>
      <c r="G112" s="429">
        <v>1000</v>
      </c>
      <c r="I112" s="3" t="s">
        <v>63</v>
      </c>
    </row>
    <row r="113" spans="1:9" s="108" customFormat="1" ht="16.5" customHeight="1">
      <c r="A113" s="744"/>
      <c r="B113" s="415" t="s">
        <v>274</v>
      </c>
      <c r="C113" s="319"/>
      <c r="D113" s="319">
        <f>D112</f>
        <v>50000</v>
      </c>
      <c r="E113" s="319">
        <f>E112</f>
        <v>0</v>
      </c>
      <c r="F113" s="416">
        <f>F112</f>
        <v>83.333333333333329</v>
      </c>
      <c r="G113" s="416">
        <f>G112</f>
        <v>1000</v>
      </c>
    </row>
    <row r="114" spans="1:9" s="108" customFormat="1" ht="12.75" customHeight="1">
      <c r="A114" s="128"/>
      <c r="B114" s="120"/>
      <c r="C114" s="121"/>
      <c r="D114" s="121"/>
      <c r="E114" s="121"/>
      <c r="F114" s="421" t="s">
        <v>241</v>
      </c>
      <c r="G114" s="328">
        <v>0</v>
      </c>
    </row>
    <row r="115" spans="1:9" s="108" customFormat="1" ht="12.75" customHeight="1">
      <c r="A115" s="128"/>
      <c r="B115" s="120"/>
      <c r="C115" s="121"/>
      <c r="D115" s="121"/>
      <c r="E115" s="121"/>
      <c r="F115" s="421" t="s">
        <v>275</v>
      </c>
      <c r="G115" s="328">
        <v>0</v>
      </c>
    </row>
    <row r="116" spans="1:9" s="108" customFormat="1" ht="12.75" customHeight="1">
      <c r="A116" s="128"/>
      <c r="B116" s="120"/>
      <c r="C116" s="121"/>
      <c r="D116" s="121"/>
      <c r="E116" s="121"/>
      <c r="F116" s="422" t="s">
        <v>107</v>
      </c>
      <c r="G116" s="328">
        <v>0</v>
      </c>
    </row>
    <row r="117" spans="1:9" s="108" customFormat="1" ht="12.75" customHeight="1">
      <c r="A117" s="128"/>
      <c r="B117" s="120"/>
      <c r="C117" s="121"/>
      <c r="D117" s="121"/>
      <c r="E117" s="121"/>
      <c r="F117" s="422" t="s">
        <v>108</v>
      </c>
      <c r="G117" s="328">
        <f>G112</f>
        <v>1000</v>
      </c>
    </row>
    <row r="118" spans="1:9" s="108" customFormat="1" ht="12.75" customHeight="1">
      <c r="B118" s="131"/>
      <c r="F118" s="91"/>
      <c r="G118" s="308"/>
    </row>
    <row r="119" spans="1:9" s="108" customFormat="1" ht="12.75" customHeight="1">
      <c r="A119" s="738" t="s">
        <v>52</v>
      </c>
      <c r="B119" s="739"/>
      <c r="C119" s="742" t="s">
        <v>3</v>
      </c>
      <c r="D119" s="309" t="s">
        <v>219</v>
      </c>
      <c r="E119" s="310" t="s">
        <v>220</v>
      </c>
      <c r="F119" s="310" t="s">
        <v>54</v>
      </c>
      <c r="G119" s="311" t="s">
        <v>4</v>
      </c>
    </row>
    <row r="120" spans="1:9" s="108" customFormat="1" ht="12.75" customHeight="1">
      <c r="A120" s="740"/>
      <c r="B120" s="741"/>
      <c r="C120" s="743"/>
      <c r="D120" s="359" t="s">
        <v>221</v>
      </c>
      <c r="E120" s="359" t="s">
        <v>222</v>
      </c>
      <c r="F120" s="359">
        <f>G2</f>
        <v>2027</v>
      </c>
      <c r="G120" s="359">
        <f>G2</f>
        <v>2027</v>
      </c>
      <c r="I120" s="200"/>
    </row>
    <row r="121" spans="1:9" s="108" customFormat="1" ht="21.75" customHeight="1">
      <c r="A121" s="434" t="s">
        <v>58</v>
      </c>
      <c r="B121" s="435" t="s">
        <v>276</v>
      </c>
      <c r="C121" s="316"/>
      <c r="D121" s="316"/>
      <c r="E121" s="316"/>
      <c r="F121" s="408">
        <f>F123</f>
        <v>83.333333333333329</v>
      </c>
      <c r="G121" s="408">
        <f>G123</f>
        <v>1000</v>
      </c>
    </row>
    <row r="122" spans="1:9" s="108" customFormat="1" ht="18.75" customHeight="1">
      <c r="A122" s="744">
        <f>G123</f>
        <v>1000</v>
      </c>
      <c r="B122" s="424" t="s">
        <v>277</v>
      </c>
      <c r="C122" s="412" t="s">
        <v>226</v>
      </c>
      <c r="D122" s="127">
        <v>50000</v>
      </c>
      <c r="E122" s="113">
        <v>0</v>
      </c>
      <c r="F122" s="429">
        <f>G122/12</f>
        <v>83.333333333333329</v>
      </c>
      <c r="G122" s="429">
        <v>1000</v>
      </c>
      <c r="I122" s="3" t="s">
        <v>63</v>
      </c>
    </row>
    <row r="123" spans="1:9" s="108" customFormat="1" ht="15.75" customHeight="1">
      <c r="A123" s="744"/>
      <c r="B123" s="415" t="s">
        <v>274</v>
      </c>
      <c r="C123" s="319"/>
      <c r="D123" s="319">
        <f>D122</f>
        <v>50000</v>
      </c>
      <c r="E123" s="319">
        <f>E122</f>
        <v>0</v>
      </c>
      <c r="F123" s="416">
        <f>F122</f>
        <v>83.333333333333329</v>
      </c>
      <c r="G123" s="416">
        <f>G122</f>
        <v>1000</v>
      </c>
    </row>
    <row r="124" spans="1:9" s="108" customFormat="1" ht="12.75" customHeight="1">
      <c r="A124" s="128"/>
      <c r="B124" s="120"/>
      <c r="C124" s="121"/>
      <c r="D124" s="121"/>
      <c r="E124" s="121"/>
      <c r="F124" s="421" t="s">
        <v>241</v>
      </c>
      <c r="G124" s="328">
        <v>0</v>
      </c>
    </row>
    <row r="125" spans="1:9" s="108" customFormat="1" ht="12.75" customHeight="1">
      <c r="A125" s="128"/>
      <c r="B125" s="120"/>
      <c r="C125" s="121"/>
      <c r="D125" s="121"/>
      <c r="E125" s="121"/>
      <c r="F125" s="421" t="s">
        <v>275</v>
      </c>
      <c r="G125" s="328">
        <v>0</v>
      </c>
    </row>
    <row r="126" spans="1:9" s="108" customFormat="1" ht="12.75" customHeight="1">
      <c r="A126" s="128"/>
      <c r="B126" s="120"/>
      <c r="C126" s="121"/>
      <c r="D126" s="121"/>
      <c r="E126" s="121"/>
      <c r="F126" s="422" t="s">
        <v>107</v>
      </c>
      <c r="G126" s="328">
        <v>0</v>
      </c>
    </row>
    <row r="127" spans="1:9" s="108" customFormat="1" ht="12.75" customHeight="1">
      <c r="A127" s="128"/>
      <c r="B127" s="120"/>
      <c r="C127" s="121"/>
      <c r="D127" s="121"/>
      <c r="E127" s="121"/>
      <c r="F127" s="422" t="s">
        <v>108</v>
      </c>
      <c r="G127" s="328">
        <f>G122</f>
        <v>1000</v>
      </c>
    </row>
    <row r="128" spans="1:9" s="108" customFormat="1" ht="12.75" customHeight="1">
      <c r="B128" s="131"/>
      <c r="F128" s="91"/>
      <c r="G128" s="308"/>
    </row>
    <row r="129" spans="1:10" s="108" customFormat="1" ht="12.75" customHeight="1">
      <c r="A129" s="738" t="s">
        <v>52</v>
      </c>
      <c r="B129" s="739"/>
      <c r="C129" s="742" t="s">
        <v>3</v>
      </c>
      <c r="D129" s="309" t="s">
        <v>219</v>
      </c>
      <c r="E129" s="310" t="s">
        <v>220</v>
      </c>
      <c r="F129" s="310" t="s">
        <v>54</v>
      </c>
      <c r="G129" s="311" t="s">
        <v>4</v>
      </c>
    </row>
    <row r="130" spans="1:10" s="108" customFormat="1" ht="12.75" customHeight="1">
      <c r="A130" s="740"/>
      <c r="B130" s="741"/>
      <c r="C130" s="743"/>
      <c r="D130" s="359" t="s">
        <v>221</v>
      </c>
      <c r="E130" s="359" t="s">
        <v>222</v>
      </c>
      <c r="F130" s="359">
        <f>G2</f>
        <v>2027</v>
      </c>
      <c r="G130" s="359">
        <f>G2</f>
        <v>2027</v>
      </c>
      <c r="I130" s="200"/>
    </row>
    <row r="131" spans="1:10" s="108" customFormat="1" ht="21.75" customHeight="1">
      <c r="A131" s="434" t="s">
        <v>182</v>
      </c>
      <c r="B131" s="435" t="s">
        <v>278</v>
      </c>
      <c r="C131" s="316"/>
      <c r="D131" s="316"/>
      <c r="E131" s="316"/>
      <c r="F131" s="408">
        <f>F133</f>
        <v>83.333333333333329</v>
      </c>
      <c r="G131" s="408">
        <f>G133</f>
        <v>1000</v>
      </c>
    </row>
    <row r="132" spans="1:10" s="108" customFormat="1" ht="20.25" customHeight="1">
      <c r="A132" s="744">
        <f>G133</f>
        <v>1000</v>
      </c>
      <c r="B132" s="424" t="s">
        <v>191</v>
      </c>
      <c r="C132" s="412" t="s">
        <v>226</v>
      </c>
      <c r="D132" s="127">
        <v>50000</v>
      </c>
      <c r="E132" s="113">
        <v>0</v>
      </c>
      <c r="F132" s="429">
        <f>G132/12</f>
        <v>83.333333333333329</v>
      </c>
      <c r="G132" s="429">
        <v>1000</v>
      </c>
      <c r="I132" s="3" t="s">
        <v>63</v>
      </c>
    </row>
    <row r="133" spans="1:10" s="108" customFormat="1" ht="18" customHeight="1">
      <c r="A133" s="744"/>
      <c r="B133" s="415" t="s">
        <v>274</v>
      </c>
      <c r="C133" s="319"/>
      <c r="D133" s="319">
        <f>D132</f>
        <v>50000</v>
      </c>
      <c r="E133" s="319">
        <f>E132</f>
        <v>0</v>
      </c>
      <c r="F133" s="416">
        <f>F132</f>
        <v>83.333333333333329</v>
      </c>
      <c r="G133" s="416">
        <f>G132</f>
        <v>1000</v>
      </c>
    </row>
    <row r="134" spans="1:10" s="108" customFormat="1" ht="12.75" customHeight="1">
      <c r="A134" s="128"/>
      <c r="B134" s="120"/>
      <c r="C134" s="121"/>
      <c r="D134" s="121"/>
      <c r="E134" s="121"/>
      <c r="F134" s="421" t="s">
        <v>241</v>
      </c>
      <c r="G134" s="328">
        <v>0</v>
      </c>
    </row>
    <row r="135" spans="1:10" s="108" customFormat="1" ht="12.75" customHeight="1">
      <c r="A135" s="128"/>
      <c r="B135" s="120"/>
      <c r="C135" s="121"/>
      <c r="D135" s="121"/>
      <c r="E135" s="121"/>
      <c r="F135" s="421" t="s">
        <v>275</v>
      </c>
      <c r="G135" s="328">
        <v>0</v>
      </c>
    </row>
    <row r="136" spans="1:10" s="108" customFormat="1" ht="12.75" customHeight="1">
      <c r="A136" s="128"/>
      <c r="B136" s="120"/>
      <c r="C136" s="121"/>
      <c r="D136" s="121"/>
      <c r="E136" s="121"/>
      <c r="F136" s="422" t="s">
        <v>107</v>
      </c>
      <c r="G136" s="328">
        <v>0</v>
      </c>
      <c r="J136" s="305"/>
    </row>
    <row r="137" spans="1:10" s="108" customFormat="1" ht="12.75" customHeight="1">
      <c r="A137" s="128"/>
      <c r="B137" s="120"/>
      <c r="C137" s="121"/>
      <c r="D137" s="121"/>
      <c r="E137" s="121"/>
      <c r="F137" s="422" t="s">
        <v>108</v>
      </c>
      <c r="G137" s="328">
        <f>G132</f>
        <v>1000</v>
      </c>
      <c r="J137" s="305"/>
    </row>
    <row r="138" spans="1:10" s="108" customFormat="1" ht="12.75" customHeight="1">
      <c r="B138" s="131"/>
      <c r="F138" s="91"/>
      <c r="G138" s="308"/>
      <c r="I138" s="118"/>
    </row>
    <row r="139" spans="1:10" s="108" customFormat="1" ht="12.75" customHeight="1">
      <c r="A139" s="738" t="s">
        <v>52</v>
      </c>
      <c r="B139" s="739"/>
      <c r="C139" s="742" t="s">
        <v>3</v>
      </c>
      <c r="D139" s="19" t="s">
        <v>53</v>
      </c>
      <c r="E139" s="189" t="s">
        <v>54</v>
      </c>
      <c r="F139" s="189" t="s">
        <v>54</v>
      </c>
      <c r="G139" s="189" t="s">
        <v>4</v>
      </c>
      <c r="I139" s="118"/>
    </row>
    <row r="140" spans="1:10" s="108" customFormat="1" ht="12.75" customHeight="1">
      <c r="A140" s="745"/>
      <c r="B140" s="741"/>
      <c r="C140" s="743"/>
      <c r="D140" s="20" t="s">
        <v>56</v>
      </c>
      <c r="E140" s="190" t="e">
        <f>#REF!</f>
        <v>#REF!</v>
      </c>
      <c r="F140" s="190">
        <v>2027</v>
      </c>
      <c r="G140" s="190">
        <v>2027</v>
      </c>
      <c r="I140" s="118"/>
    </row>
    <row r="141" spans="1:10" s="108" customFormat="1" ht="23.25" customHeight="1">
      <c r="A141" s="442" t="s">
        <v>109</v>
      </c>
      <c r="B141" s="435" t="s">
        <v>279</v>
      </c>
      <c r="C141" s="438"/>
      <c r="D141" s="439"/>
      <c r="E141" s="440" t="e">
        <f>E148+#REF!</f>
        <v>#REF!</v>
      </c>
      <c r="F141" s="441">
        <f>F142+F143+F144+F145</f>
        <v>7333250</v>
      </c>
      <c r="G141" s="441">
        <f>G142+G143+G144+G145</f>
        <v>87999000</v>
      </c>
      <c r="I141" s="118"/>
    </row>
    <row r="142" spans="1:10" s="108" customFormat="1" ht="19.5" customHeight="1">
      <c r="A142" s="750">
        <f>G148</f>
        <v>87999000</v>
      </c>
      <c r="B142" s="424" t="s">
        <v>280</v>
      </c>
      <c r="C142" s="412" t="s">
        <v>226</v>
      </c>
      <c r="D142" s="24">
        <v>64000</v>
      </c>
      <c r="E142" s="25">
        <v>0</v>
      </c>
      <c r="F142" s="429">
        <f>G142/12</f>
        <v>4166.666666666667</v>
      </c>
      <c r="G142" s="429">
        <v>50000</v>
      </c>
      <c r="I142" s="4" t="s">
        <v>96</v>
      </c>
    </row>
    <row r="143" spans="1:10" s="108" customFormat="1" ht="18" customHeight="1">
      <c r="A143" s="751"/>
      <c r="B143" s="424" t="s">
        <v>15</v>
      </c>
      <c r="C143" s="412" t="s">
        <v>226</v>
      </c>
      <c r="D143" s="24">
        <v>400000</v>
      </c>
      <c r="E143" s="25">
        <v>0</v>
      </c>
      <c r="F143" s="429">
        <f>G143/12</f>
        <v>1391666.6666666667</v>
      </c>
      <c r="G143" s="429">
        <v>16700000</v>
      </c>
      <c r="I143" s="4" t="s">
        <v>96</v>
      </c>
    </row>
    <row r="144" spans="1:10" s="108" customFormat="1" ht="17.25" customHeight="1">
      <c r="A144" s="751"/>
      <c r="B144" s="424" t="s">
        <v>281</v>
      </c>
      <c r="C144" s="412" t="s">
        <v>226</v>
      </c>
      <c r="D144" s="24"/>
      <c r="E144" s="25"/>
      <c r="F144" s="429">
        <f>G144/12</f>
        <v>66666.666666666672</v>
      </c>
      <c r="G144" s="429">
        <v>800000</v>
      </c>
      <c r="I144" s="4" t="s">
        <v>96</v>
      </c>
    </row>
    <row r="145" spans="1:9" s="108" customFormat="1" ht="16.5" customHeight="1">
      <c r="A145" s="752"/>
      <c r="B145" s="424" t="s">
        <v>282</v>
      </c>
      <c r="C145" s="412" t="s">
        <v>226</v>
      </c>
      <c r="D145" s="24">
        <v>35000</v>
      </c>
      <c r="E145" s="25">
        <v>0</v>
      </c>
      <c r="F145" s="429">
        <f>F146+F147</f>
        <v>5870750</v>
      </c>
      <c r="G145" s="429">
        <f>G146+G147</f>
        <v>70449000</v>
      </c>
      <c r="I145" s="4" t="s">
        <v>96</v>
      </c>
    </row>
    <row r="146" spans="1:9" s="108" customFormat="1" ht="12.75" customHeight="1">
      <c r="A146" s="751"/>
      <c r="B146" s="398" t="s">
        <v>116</v>
      </c>
      <c r="C146" s="709"/>
      <c r="D146" s="156"/>
      <c r="E146" s="154"/>
      <c r="F146" s="397">
        <f>G146/12</f>
        <v>5623666.666666667</v>
      </c>
      <c r="G146" s="397">
        <v>67484000</v>
      </c>
      <c r="I146" s="118"/>
    </row>
    <row r="147" spans="1:9" s="108" customFormat="1" ht="12.75" customHeight="1">
      <c r="A147" s="751"/>
      <c r="B147" s="398" t="s">
        <v>283</v>
      </c>
      <c r="C147" s="709"/>
      <c r="D147" s="156"/>
      <c r="E147" s="400">
        <f>F147/12</f>
        <v>20590.277777777777</v>
      </c>
      <c r="F147" s="401">
        <f>G147/12</f>
        <v>247083.33333333334</v>
      </c>
      <c r="G147" s="401">
        <v>2965000</v>
      </c>
      <c r="I147" s="118"/>
    </row>
    <row r="148" spans="1:9" s="108" customFormat="1" ht="19.5" customHeight="1">
      <c r="A148" s="752"/>
      <c r="B148" s="415" t="s">
        <v>284</v>
      </c>
      <c r="C148" s="415"/>
      <c r="D148" s="194" t="e">
        <f>D127+D129+D131+#REF!+#REF!+D141+#REF!+#REF!+#REF!</f>
        <v>#VALUE!</v>
      </c>
      <c r="E148" s="194">
        <f>E142+E143+E145</f>
        <v>0</v>
      </c>
      <c r="F148" s="443">
        <f>F142+F143+F144+F145</f>
        <v>7333250</v>
      </c>
      <c r="G148" s="443">
        <f>G142+G143+G144+G145</f>
        <v>87999000</v>
      </c>
      <c r="I148" s="118"/>
    </row>
    <row r="149" spans="1:9" ht="13.5" customHeight="1">
      <c r="G149" s="118"/>
      <c r="I149" s="133"/>
    </row>
    <row r="150" spans="1:9" ht="13.5" customHeight="1">
      <c r="A150" s="738" t="s">
        <v>52</v>
      </c>
      <c r="B150" s="739"/>
      <c r="C150" s="742" t="s">
        <v>3</v>
      </c>
      <c r="D150" s="19" t="s">
        <v>53</v>
      </c>
      <c r="E150" s="189" t="s">
        <v>54</v>
      </c>
      <c r="F150" s="189" t="s">
        <v>54</v>
      </c>
      <c r="G150" s="189" t="s">
        <v>4</v>
      </c>
      <c r="H150" s="108"/>
      <c r="I150" s="118"/>
    </row>
    <row r="151" spans="1:9" ht="13.5" customHeight="1">
      <c r="A151" s="740"/>
      <c r="B151" s="741"/>
      <c r="C151" s="743"/>
      <c r="D151" s="20" t="s">
        <v>56</v>
      </c>
      <c r="E151" s="190">
        <f>F111</f>
        <v>83.333333333333329</v>
      </c>
      <c r="F151" s="190">
        <v>2027</v>
      </c>
      <c r="G151" s="190">
        <v>2027</v>
      </c>
      <c r="H151" s="108"/>
      <c r="I151" s="118"/>
    </row>
    <row r="152" spans="1:9" ht="21.75" customHeight="1">
      <c r="A152" s="442" t="s">
        <v>109</v>
      </c>
      <c r="B152" s="435" t="s">
        <v>285</v>
      </c>
      <c r="C152" s="438"/>
      <c r="D152" s="439"/>
      <c r="E152" s="440" t="e">
        <f>E159+#REF!</f>
        <v>#REF!</v>
      </c>
      <c r="F152" s="441">
        <f>F159</f>
        <v>1070465.3333333333</v>
      </c>
      <c r="G152" s="441">
        <f>G159</f>
        <v>12845584</v>
      </c>
      <c r="H152" s="108"/>
      <c r="I152" s="118"/>
    </row>
    <row r="153" spans="1:9" ht="18.75" customHeight="1">
      <c r="A153" s="753">
        <f>G159</f>
        <v>12845584</v>
      </c>
      <c r="B153" s="424" t="s">
        <v>280</v>
      </c>
      <c r="C153" s="395" t="s">
        <v>226</v>
      </c>
      <c r="D153" s="24">
        <v>64000</v>
      </c>
      <c r="E153" s="25">
        <v>0</v>
      </c>
      <c r="F153" s="444">
        <f>G153/12</f>
        <v>4166.666666666667</v>
      </c>
      <c r="G153" s="444">
        <v>50000</v>
      </c>
      <c r="H153" s="108"/>
      <c r="I153" s="4" t="s">
        <v>96</v>
      </c>
    </row>
    <row r="154" spans="1:9" ht="17.25" customHeight="1">
      <c r="A154" s="751"/>
      <c r="B154" s="424" t="s">
        <v>15</v>
      </c>
      <c r="C154" s="396" t="s">
        <v>226</v>
      </c>
      <c r="D154" s="24">
        <v>400000</v>
      </c>
      <c r="E154" s="25">
        <v>0</v>
      </c>
      <c r="F154" s="444">
        <f>G154/12</f>
        <v>210833.33333333334</v>
      </c>
      <c r="G154" s="444">
        <v>2530000</v>
      </c>
      <c r="H154" s="108"/>
      <c r="I154" s="4" t="s">
        <v>96</v>
      </c>
    </row>
    <row r="155" spans="1:9" ht="16.5" customHeight="1">
      <c r="A155" s="751"/>
      <c r="B155" s="424" t="s">
        <v>281</v>
      </c>
      <c r="C155" s="396" t="s">
        <v>226</v>
      </c>
      <c r="D155" s="24"/>
      <c r="E155" s="25"/>
      <c r="F155" s="444">
        <f>G155/12</f>
        <v>4583.333333333333</v>
      </c>
      <c r="G155" s="444">
        <v>55000</v>
      </c>
      <c r="H155" s="108"/>
      <c r="I155" s="4" t="s">
        <v>96</v>
      </c>
    </row>
    <row r="156" spans="1:9" ht="19.5" customHeight="1">
      <c r="A156" s="752"/>
      <c r="B156" s="447" t="s">
        <v>282</v>
      </c>
      <c r="C156" s="399" t="s">
        <v>226</v>
      </c>
      <c r="D156" s="24">
        <v>35000</v>
      </c>
      <c r="E156" s="25">
        <v>0</v>
      </c>
      <c r="F156" s="444">
        <f>F157+F158</f>
        <v>850882</v>
      </c>
      <c r="G156" s="444">
        <f>G157+G158</f>
        <v>10210584</v>
      </c>
      <c r="H156" s="108"/>
      <c r="I156" s="4" t="s">
        <v>96</v>
      </c>
    </row>
    <row r="157" spans="1:9" ht="13.5" customHeight="1">
      <c r="A157" s="752"/>
      <c r="B157" s="380" t="s">
        <v>116</v>
      </c>
      <c r="C157" s="754"/>
      <c r="D157" s="156"/>
      <c r="E157" s="154"/>
      <c r="F157" s="445">
        <f>G157/12</f>
        <v>843525</v>
      </c>
      <c r="G157" s="445">
        <v>10122300</v>
      </c>
      <c r="H157" s="108"/>
      <c r="I157" s="118"/>
    </row>
    <row r="158" spans="1:9" ht="13.5" customHeight="1">
      <c r="A158" s="752"/>
      <c r="B158" s="380" t="s">
        <v>283</v>
      </c>
      <c r="C158" s="754"/>
      <c r="D158" s="156"/>
      <c r="E158" s="400">
        <f>F158/12</f>
        <v>613.08333333333337</v>
      </c>
      <c r="F158" s="446">
        <f>G158/12</f>
        <v>7357</v>
      </c>
      <c r="G158" s="446">
        <v>88284</v>
      </c>
      <c r="H158" s="108"/>
      <c r="I158" s="118"/>
    </row>
    <row r="159" spans="1:9" ht="22.5" customHeight="1">
      <c r="A159" s="752"/>
      <c r="B159" s="448" t="s">
        <v>240</v>
      </c>
      <c r="C159" s="415"/>
      <c r="D159" s="194" t="e">
        <f>#REF!+D138+D140+D147+#REF!+D152+#REF!+#REF!+#REF!</f>
        <v>#REF!</v>
      </c>
      <c r="E159" s="194">
        <f>E153+E154+E156</f>
        <v>0</v>
      </c>
      <c r="F159" s="443">
        <f>F153+F154+F155+F156</f>
        <v>1070465.3333333333</v>
      </c>
      <c r="G159" s="443">
        <f>G153+G154+G155+G156</f>
        <v>12845584</v>
      </c>
      <c r="H159" s="108"/>
      <c r="I159" s="118"/>
    </row>
    <row r="160" spans="1:9" ht="13.5" customHeight="1">
      <c r="G160" s="118"/>
      <c r="I160" s="133"/>
    </row>
    <row r="161" spans="1:9" ht="13.5" customHeight="1">
      <c r="A161" s="738" t="s">
        <v>52</v>
      </c>
      <c r="B161" s="739"/>
      <c r="C161" s="742" t="s">
        <v>3</v>
      </c>
      <c r="D161" s="19" t="s">
        <v>53</v>
      </c>
      <c r="E161" s="189" t="s">
        <v>54</v>
      </c>
      <c r="F161" s="189" t="s">
        <v>54</v>
      </c>
      <c r="G161" s="189" t="s">
        <v>4</v>
      </c>
      <c r="H161" s="108"/>
      <c r="I161" s="118"/>
    </row>
    <row r="162" spans="1:9" ht="13.5" customHeight="1">
      <c r="A162" s="740"/>
      <c r="B162" s="741"/>
      <c r="C162" s="743"/>
      <c r="D162" s="20" t="s">
        <v>56</v>
      </c>
      <c r="E162" s="190">
        <f>F122</f>
        <v>83.333333333333329</v>
      </c>
      <c r="F162" s="190">
        <v>2027</v>
      </c>
      <c r="G162" s="190">
        <v>2027</v>
      </c>
      <c r="H162" s="108"/>
      <c r="I162" s="118"/>
    </row>
    <row r="163" spans="1:9" ht="20.25" customHeight="1">
      <c r="A163" s="442" t="s">
        <v>109</v>
      </c>
      <c r="B163" s="435" t="s">
        <v>286</v>
      </c>
      <c r="C163" s="438"/>
      <c r="D163" s="439"/>
      <c r="E163" s="440" t="e">
        <f>E170+#REF!</f>
        <v>#REF!</v>
      </c>
      <c r="F163" s="441">
        <f>F170</f>
        <v>2377623.333333333</v>
      </c>
      <c r="G163" s="441">
        <f>G170</f>
        <v>28531480</v>
      </c>
      <c r="H163" s="108"/>
      <c r="I163" s="118"/>
    </row>
    <row r="164" spans="1:9" ht="16.5" customHeight="1">
      <c r="A164" s="753">
        <f>G170</f>
        <v>28531480</v>
      </c>
      <c r="B164" s="424" t="s">
        <v>287</v>
      </c>
      <c r="C164" s="395" t="s">
        <v>226</v>
      </c>
      <c r="D164" s="24">
        <v>64000</v>
      </c>
      <c r="E164" s="25">
        <v>0</v>
      </c>
      <c r="F164" s="444">
        <f>G164/12</f>
        <v>6458.333333333333</v>
      </c>
      <c r="G164" s="444">
        <v>77500</v>
      </c>
      <c r="H164" s="108"/>
      <c r="I164" s="4" t="s">
        <v>96</v>
      </c>
    </row>
    <row r="165" spans="1:9" ht="16.5" customHeight="1">
      <c r="A165" s="751"/>
      <c r="B165" s="424" t="s">
        <v>15</v>
      </c>
      <c r="C165" s="396" t="s">
        <v>226</v>
      </c>
      <c r="D165" s="24">
        <v>400000</v>
      </c>
      <c r="E165" s="25">
        <v>0</v>
      </c>
      <c r="F165" s="444">
        <f>G165/12</f>
        <v>451435</v>
      </c>
      <c r="G165" s="444">
        <v>5417220</v>
      </c>
      <c r="H165" s="108"/>
      <c r="I165" s="4" t="s">
        <v>96</v>
      </c>
    </row>
    <row r="166" spans="1:9" ht="18" customHeight="1">
      <c r="A166" s="751"/>
      <c r="B166" s="424" t="s">
        <v>281</v>
      </c>
      <c r="C166" s="396" t="s">
        <v>226</v>
      </c>
      <c r="D166" s="24"/>
      <c r="E166" s="25"/>
      <c r="F166" s="444">
        <f>G166/12</f>
        <v>10048.333333333334</v>
      </c>
      <c r="G166" s="444">
        <v>120580</v>
      </c>
      <c r="H166" s="108"/>
      <c r="I166" s="4" t="s">
        <v>96</v>
      </c>
    </row>
    <row r="167" spans="1:9" ht="18.75" customHeight="1">
      <c r="A167" s="752"/>
      <c r="B167" s="447" t="s">
        <v>282</v>
      </c>
      <c r="C167" s="399" t="s">
        <v>226</v>
      </c>
      <c r="D167" s="24">
        <v>35000</v>
      </c>
      <c r="E167" s="25">
        <v>0</v>
      </c>
      <c r="F167" s="444">
        <f>F168+F169</f>
        <v>1909681.6666666665</v>
      </c>
      <c r="G167" s="444">
        <f>G168+G169</f>
        <v>22916180</v>
      </c>
      <c r="H167" s="108"/>
      <c r="I167" s="4" t="s">
        <v>96</v>
      </c>
    </row>
    <row r="168" spans="1:9" ht="13.5" customHeight="1">
      <c r="A168" s="752"/>
      <c r="B168" s="380" t="s">
        <v>116</v>
      </c>
      <c r="C168" s="754"/>
      <c r="D168" s="156"/>
      <c r="E168" s="154"/>
      <c r="F168" s="445">
        <f>G168/12</f>
        <v>1908673.3333333333</v>
      </c>
      <c r="G168" s="445">
        <v>22904080</v>
      </c>
      <c r="H168" s="108"/>
      <c r="I168" s="118"/>
    </row>
    <row r="169" spans="1:9" ht="13.5" customHeight="1">
      <c r="A169" s="752"/>
      <c r="B169" s="380" t="s">
        <v>283</v>
      </c>
      <c r="C169" s="754"/>
      <c r="D169" s="156"/>
      <c r="E169" s="400">
        <f>F169/12</f>
        <v>84.027777777777786</v>
      </c>
      <c r="F169" s="446">
        <f>G169/12</f>
        <v>1008.3333333333334</v>
      </c>
      <c r="G169" s="446">
        <v>12100</v>
      </c>
      <c r="H169" s="108"/>
      <c r="I169" s="118"/>
    </row>
    <row r="170" spans="1:9" ht="21.75" customHeight="1">
      <c r="A170" s="752"/>
      <c r="B170" s="448" t="s">
        <v>284</v>
      </c>
      <c r="C170" s="415"/>
      <c r="D170" s="194" t="e">
        <f>D147+D149+D151+D158+#REF!+D163+#REF!+#REF!+#REF!</f>
        <v>#VALUE!</v>
      </c>
      <c r="E170" s="194">
        <f>E164+E165+E167</f>
        <v>0</v>
      </c>
      <c r="F170" s="443">
        <f>F164+F165+F166+F167</f>
        <v>2377623.333333333</v>
      </c>
      <c r="G170" s="443">
        <f>G164+G165+G166+G167</f>
        <v>28531480</v>
      </c>
      <c r="H170" s="108"/>
      <c r="I170" s="118"/>
    </row>
    <row r="171" spans="1:9" ht="13.5" customHeight="1">
      <c r="G171" s="118"/>
      <c r="I171" s="133"/>
    </row>
    <row r="172" spans="1:9" ht="13.5" customHeight="1">
      <c r="A172" s="738" t="s">
        <v>52</v>
      </c>
      <c r="B172" s="739"/>
      <c r="C172" s="742" t="s">
        <v>3</v>
      </c>
      <c r="D172" s="309" t="s">
        <v>219</v>
      </c>
      <c r="E172" s="310" t="s">
        <v>220</v>
      </c>
      <c r="F172" s="310" t="s">
        <v>54</v>
      </c>
      <c r="G172" s="311" t="s">
        <v>4</v>
      </c>
      <c r="I172" s="133"/>
    </row>
    <row r="173" spans="1:9" ht="13.5" customHeight="1">
      <c r="A173" s="740"/>
      <c r="B173" s="741"/>
      <c r="C173" s="743"/>
      <c r="D173" s="359" t="s">
        <v>221</v>
      </c>
      <c r="E173" s="359" t="s">
        <v>222</v>
      </c>
      <c r="F173" s="190">
        <v>2027</v>
      </c>
      <c r="G173" s="359">
        <v>2027</v>
      </c>
      <c r="I173" s="133"/>
    </row>
    <row r="174" spans="1:9" ht="23.25" customHeight="1">
      <c r="A174" s="442" t="s">
        <v>58</v>
      </c>
      <c r="B174" s="435" t="s">
        <v>288</v>
      </c>
      <c r="C174" s="316"/>
      <c r="D174" s="316"/>
      <c r="E174" s="316"/>
      <c r="F174" s="456">
        <f>F176</f>
        <v>1666.6666666666667</v>
      </c>
      <c r="G174" s="455">
        <f>G176</f>
        <v>20000</v>
      </c>
      <c r="I174" s="133"/>
    </row>
    <row r="175" spans="1:9" ht="20.25" customHeight="1">
      <c r="A175" s="744">
        <f>G176</f>
        <v>20000</v>
      </c>
      <c r="B175" s="402" t="s">
        <v>254</v>
      </c>
      <c r="C175" s="403" t="s">
        <v>226</v>
      </c>
      <c r="D175" s="404">
        <v>50000</v>
      </c>
      <c r="E175" s="405">
        <v>0</v>
      </c>
      <c r="F175" s="406">
        <f>G175/12</f>
        <v>1666.6666666666667</v>
      </c>
      <c r="G175" s="457">
        <v>20000</v>
      </c>
      <c r="I175" s="3" t="s">
        <v>63</v>
      </c>
    </row>
    <row r="176" spans="1:9" ht="21" customHeight="1">
      <c r="A176" s="744"/>
      <c r="B176" s="448" t="s">
        <v>289</v>
      </c>
      <c r="C176" s="448"/>
      <c r="D176" s="319">
        <f>D175</f>
        <v>50000</v>
      </c>
      <c r="E176" s="319">
        <f>E175</f>
        <v>0</v>
      </c>
      <c r="F176" s="443">
        <f>F175</f>
        <v>1666.6666666666667</v>
      </c>
      <c r="G176" s="443">
        <f>G175</f>
        <v>20000</v>
      </c>
      <c r="I176" s="133"/>
    </row>
    <row r="177" spans="1:9" ht="13.5" customHeight="1">
      <c r="G177" s="118"/>
      <c r="I177" s="133"/>
    </row>
    <row r="178" spans="1:9" ht="13.5" customHeight="1">
      <c r="A178" s="738" t="s">
        <v>52</v>
      </c>
      <c r="B178" s="739"/>
      <c r="C178" s="742" t="s">
        <v>3</v>
      </c>
      <c r="D178" s="309" t="s">
        <v>219</v>
      </c>
      <c r="E178" s="310" t="s">
        <v>220</v>
      </c>
      <c r="F178" s="310" t="s">
        <v>54</v>
      </c>
      <c r="G178" s="311" t="s">
        <v>4</v>
      </c>
      <c r="I178" s="133"/>
    </row>
    <row r="179" spans="1:9" ht="13.5" customHeight="1">
      <c r="A179" s="740"/>
      <c r="B179" s="741"/>
      <c r="C179" s="743"/>
      <c r="D179" s="359" t="s">
        <v>221</v>
      </c>
      <c r="E179" s="359" t="s">
        <v>222</v>
      </c>
      <c r="F179" s="190">
        <v>2027</v>
      </c>
      <c r="G179" s="359">
        <v>2027</v>
      </c>
      <c r="I179" s="133"/>
    </row>
    <row r="180" spans="1:9" ht="28.5" customHeight="1">
      <c r="A180" s="442" t="s">
        <v>58</v>
      </c>
      <c r="B180" s="449" t="s">
        <v>290</v>
      </c>
      <c r="C180" s="316"/>
      <c r="D180" s="316"/>
      <c r="E180" s="316"/>
      <c r="F180" s="456">
        <f>F182</f>
        <v>10000</v>
      </c>
      <c r="G180" s="455">
        <f>G182</f>
        <v>120000</v>
      </c>
      <c r="I180" s="133"/>
    </row>
    <row r="181" spans="1:9" ht="20.25" customHeight="1">
      <c r="A181" s="744">
        <f>G182</f>
        <v>120000</v>
      </c>
      <c r="B181" s="402" t="s">
        <v>254</v>
      </c>
      <c r="C181" s="403" t="s">
        <v>226</v>
      </c>
      <c r="D181" s="404">
        <v>50000</v>
      </c>
      <c r="E181" s="405">
        <v>0</v>
      </c>
      <c r="F181" s="406">
        <f>G181/12</f>
        <v>10000</v>
      </c>
      <c r="G181" s="457">
        <v>120000</v>
      </c>
      <c r="I181" s="3" t="s">
        <v>63</v>
      </c>
    </row>
    <row r="182" spans="1:9" ht="24" customHeight="1">
      <c r="A182" s="744"/>
      <c r="B182" s="448" t="s">
        <v>289</v>
      </c>
      <c r="C182" s="448"/>
      <c r="D182" s="319">
        <f>D181</f>
        <v>50000</v>
      </c>
      <c r="E182" s="319">
        <f>E181</f>
        <v>0</v>
      </c>
      <c r="F182" s="443">
        <f>F181</f>
        <v>10000</v>
      </c>
      <c r="G182" s="443">
        <f>G181</f>
        <v>120000</v>
      </c>
      <c r="I182" s="133"/>
    </row>
    <row r="183" spans="1:9" ht="13.5" customHeight="1">
      <c r="G183" s="118"/>
      <c r="I183" s="133"/>
    </row>
    <row r="184" spans="1:9" ht="13.5" customHeight="1">
      <c r="A184" s="738" t="s">
        <v>52</v>
      </c>
      <c r="B184" s="739"/>
      <c r="C184" s="742" t="s">
        <v>3</v>
      </c>
      <c r="D184" s="309" t="s">
        <v>219</v>
      </c>
      <c r="E184" s="310" t="s">
        <v>220</v>
      </c>
      <c r="F184" s="310" t="s">
        <v>54</v>
      </c>
      <c r="G184" s="311" t="s">
        <v>4</v>
      </c>
      <c r="I184" s="133"/>
    </row>
    <row r="185" spans="1:9" ht="13.5" customHeight="1">
      <c r="A185" s="740"/>
      <c r="B185" s="741"/>
      <c r="C185" s="743"/>
      <c r="D185" s="359" t="s">
        <v>221</v>
      </c>
      <c r="E185" s="359" t="s">
        <v>222</v>
      </c>
      <c r="F185" s="190">
        <v>2027</v>
      </c>
      <c r="G185" s="359">
        <v>2027</v>
      </c>
      <c r="I185" s="133"/>
    </row>
    <row r="186" spans="1:9" ht="27" customHeight="1">
      <c r="A186" s="442" t="s">
        <v>58</v>
      </c>
      <c r="B186" s="449" t="s">
        <v>291</v>
      </c>
      <c r="C186" s="316"/>
      <c r="D186" s="316"/>
      <c r="E186" s="316"/>
      <c r="F186" s="456">
        <f>F188</f>
        <v>10000</v>
      </c>
      <c r="G186" s="455">
        <f>G188</f>
        <v>120000</v>
      </c>
      <c r="I186" s="133"/>
    </row>
    <row r="187" spans="1:9" ht="22.5" customHeight="1">
      <c r="A187" s="744">
        <f>G188</f>
        <v>120000</v>
      </c>
      <c r="B187" s="402" t="s">
        <v>254</v>
      </c>
      <c r="C187" s="403" t="s">
        <v>226</v>
      </c>
      <c r="D187" s="404">
        <v>50000</v>
      </c>
      <c r="E187" s="405">
        <v>0</v>
      </c>
      <c r="F187" s="406">
        <f>G187/12</f>
        <v>10000</v>
      </c>
      <c r="G187" s="457">
        <v>120000</v>
      </c>
      <c r="I187" s="3" t="s">
        <v>63</v>
      </c>
    </row>
    <row r="188" spans="1:9" ht="25.5" customHeight="1">
      <c r="A188" s="744"/>
      <c r="B188" s="448" t="s">
        <v>289</v>
      </c>
      <c r="C188" s="448"/>
      <c r="D188" s="319">
        <f>D187</f>
        <v>50000</v>
      </c>
      <c r="E188" s="319">
        <f>E187</f>
        <v>0</v>
      </c>
      <c r="F188" s="443">
        <f>F187</f>
        <v>10000</v>
      </c>
      <c r="G188" s="443">
        <f>G187</f>
        <v>120000</v>
      </c>
      <c r="I188" s="133"/>
    </row>
    <row r="189" spans="1:9" ht="13.5" customHeight="1">
      <c r="G189" s="118"/>
      <c r="I189" s="133"/>
    </row>
    <row r="190" spans="1:9" ht="13.5" customHeight="1">
      <c r="A190" s="738" t="s">
        <v>52</v>
      </c>
      <c r="B190" s="739"/>
      <c r="C190" s="742" t="s">
        <v>3</v>
      </c>
      <c r="D190" s="309" t="s">
        <v>219</v>
      </c>
      <c r="E190" s="310" t="s">
        <v>220</v>
      </c>
      <c r="F190" s="310" t="s">
        <v>54</v>
      </c>
      <c r="G190" s="311" t="s">
        <v>4</v>
      </c>
      <c r="I190" s="133"/>
    </row>
    <row r="191" spans="1:9" ht="13.5" customHeight="1">
      <c r="A191" s="740"/>
      <c r="B191" s="741"/>
      <c r="C191" s="743"/>
      <c r="D191" s="359" t="s">
        <v>221</v>
      </c>
      <c r="E191" s="359" t="s">
        <v>222</v>
      </c>
      <c r="F191" s="190">
        <v>2027</v>
      </c>
      <c r="G191" s="359">
        <v>2027</v>
      </c>
      <c r="I191" s="133"/>
    </row>
    <row r="192" spans="1:9" ht="23.25" customHeight="1">
      <c r="A192" s="442" t="s">
        <v>58</v>
      </c>
      <c r="B192" s="449" t="s">
        <v>292</v>
      </c>
      <c r="C192" s="316"/>
      <c r="D192" s="316"/>
      <c r="E192" s="316"/>
      <c r="F192" s="456">
        <f>F194</f>
        <v>12500</v>
      </c>
      <c r="G192" s="455">
        <f>G194</f>
        <v>150000</v>
      </c>
      <c r="I192" s="133"/>
    </row>
    <row r="193" spans="1:9" ht="21.75" customHeight="1">
      <c r="A193" s="744">
        <f>G194</f>
        <v>150000</v>
      </c>
      <c r="B193" s="402" t="s">
        <v>254</v>
      </c>
      <c r="C193" s="403" t="s">
        <v>226</v>
      </c>
      <c r="D193" s="404">
        <v>50000</v>
      </c>
      <c r="E193" s="405">
        <v>0</v>
      </c>
      <c r="F193" s="406">
        <f>G193/12</f>
        <v>12500</v>
      </c>
      <c r="G193" s="457">
        <v>150000</v>
      </c>
      <c r="I193" s="3" t="s">
        <v>63</v>
      </c>
    </row>
    <row r="194" spans="1:9" ht="22.5" customHeight="1">
      <c r="A194" s="744"/>
      <c r="B194" s="448" t="s">
        <v>289</v>
      </c>
      <c r="C194" s="448"/>
      <c r="D194" s="319">
        <f>D193</f>
        <v>50000</v>
      </c>
      <c r="E194" s="319">
        <f>E193</f>
        <v>0</v>
      </c>
      <c r="F194" s="443">
        <f>F193</f>
        <v>12500</v>
      </c>
      <c r="G194" s="443">
        <f>G193</f>
        <v>150000</v>
      </c>
      <c r="I194" s="133"/>
    </row>
    <row r="195" spans="1:9" ht="13.5" customHeight="1">
      <c r="G195" s="118"/>
      <c r="I195" s="133"/>
    </row>
    <row r="196" spans="1:9" ht="24.75" customHeight="1">
      <c r="B196" s="450" t="s">
        <v>293</v>
      </c>
      <c r="F196" s="451"/>
      <c r="G196" s="452">
        <f>A193+A187+A181+A175+A164+A153+A142+A132+A122+A112+A105+A97+A87+A79+A70+A66+A64+A56+A54+A43+A34+A22+A12</f>
        <v>951167405</v>
      </c>
      <c r="I196" s="133"/>
    </row>
    <row r="197" spans="1:9" ht="13.5" customHeight="1">
      <c r="G197" s="118"/>
      <c r="I197" s="133"/>
    </row>
    <row r="198" spans="1:9" ht="22.5" customHeight="1">
      <c r="C198" s="736" t="s">
        <v>210</v>
      </c>
      <c r="D198" s="736"/>
      <c r="E198" s="736"/>
      <c r="F198" s="736"/>
      <c r="G198" s="453" t="s">
        <v>211</v>
      </c>
    </row>
    <row r="199" spans="1:9" ht="22.5" customHeight="1">
      <c r="C199" s="737" t="s">
        <v>241</v>
      </c>
      <c r="D199" s="737"/>
      <c r="E199" s="737"/>
      <c r="F199" s="737"/>
      <c r="G199" s="454">
        <f>G27+G48+G58+G72+G81+G106</f>
        <v>803445348</v>
      </c>
      <c r="I199" s="133"/>
    </row>
    <row r="200" spans="1:9" ht="22.5" customHeight="1">
      <c r="C200" s="737" t="s">
        <v>275</v>
      </c>
      <c r="D200" s="737"/>
      <c r="E200" s="737"/>
      <c r="F200" s="737"/>
      <c r="G200" s="454">
        <f>G148+G159+G170</f>
        <v>129376064</v>
      </c>
    </row>
    <row r="201" spans="1:9" ht="19.5" customHeight="1">
      <c r="C201" s="737" t="s">
        <v>294</v>
      </c>
      <c r="D201" s="737"/>
      <c r="E201" s="737"/>
      <c r="F201" s="737"/>
      <c r="G201" s="454">
        <f>G199+G200</f>
        <v>932821412</v>
      </c>
      <c r="I201" s="517">
        <f>G201/G205</f>
        <v>0.98071213026901405</v>
      </c>
    </row>
    <row r="202" spans="1:9" ht="21.75" customHeight="1">
      <c r="C202" s="732" t="s">
        <v>107</v>
      </c>
      <c r="D202" s="732"/>
      <c r="E202" s="732"/>
      <c r="F202" s="732"/>
      <c r="G202" s="454">
        <f>G28+G49+G59+G73+G107+G175+G181+G187+G193</f>
        <v>18214847</v>
      </c>
      <c r="I202" s="133"/>
    </row>
    <row r="203" spans="1:9" ht="19.5" customHeight="1">
      <c r="C203" s="732" t="s">
        <v>108</v>
      </c>
      <c r="D203" s="732"/>
      <c r="E203" s="732"/>
      <c r="F203" s="732"/>
      <c r="G203" s="454">
        <f>G74+G117+G127+G137</f>
        <v>131146</v>
      </c>
    </row>
    <row r="204" spans="1:9" ht="22.5" customHeight="1">
      <c r="C204" s="732" t="s">
        <v>294</v>
      </c>
      <c r="D204" s="732"/>
      <c r="E204" s="732"/>
      <c r="F204" s="732"/>
      <c r="G204" s="454">
        <f>G202+G203</f>
        <v>18345993</v>
      </c>
      <c r="I204" s="517">
        <f>G204/G205</f>
        <v>1.9287869730985997E-2</v>
      </c>
    </row>
    <row r="205" spans="1:9" ht="27" customHeight="1">
      <c r="C205" s="736" t="s">
        <v>293</v>
      </c>
      <c r="D205" s="736"/>
      <c r="E205" s="736"/>
      <c r="F205" s="736"/>
      <c r="G205" s="452">
        <f>G201+G204</f>
        <v>951167405</v>
      </c>
      <c r="I205" s="475">
        <f>I201+I204</f>
        <v>1</v>
      </c>
    </row>
    <row r="207" spans="1:9">
      <c r="G207" s="133"/>
      <c r="I207" s="134"/>
    </row>
    <row r="209" spans="7:7">
      <c r="G209" s="134"/>
    </row>
  </sheetData>
  <mergeCells count="66">
    <mergeCell ref="A172:B173"/>
    <mergeCell ref="C172:C173"/>
    <mergeCell ref="A175:A176"/>
    <mergeCell ref="A161:B162"/>
    <mergeCell ref="C161:C162"/>
    <mergeCell ref="A164:A170"/>
    <mergeCell ref="C168:C169"/>
    <mergeCell ref="C139:C140"/>
    <mergeCell ref="A142:A148"/>
    <mergeCell ref="A150:B151"/>
    <mergeCell ref="C150:C151"/>
    <mergeCell ref="A153:A159"/>
    <mergeCell ref="C157:C158"/>
    <mergeCell ref="A8:B9"/>
    <mergeCell ref="A30:B31"/>
    <mergeCell ref="C30:C31"/>
    <mergeCell ref="A51:B52"/>
    <mergeCell ref="C51:C52"/>
    <mergeCell ref="C8:C9"/>
    <mergeCell ref="A76:B77"/>
    <mergeCell ref="C76:C77"/>
    <mergeCell ref="A83:B84"/>
    <mergeCell ref="C83:C84"/>
    <mergeCell ref="A12:A20"/>
    <mergeCell ref="A22:A26"/>
    <mergeCell ref="A34:A41"/>
    <mergeCell ref="A43:A47"/>
    <mergeCell ref="A56:A57"/>
    <mergeCell ref="A64:A65"/>
    <mergeCell ref="A61:B62"/>
    <mergeCell ref="C61:C62"/>
    <mergeCell ref="A66:A69"/>
    <mergeCell ref="A70:A71"/>
    <mergeCell ref="A79:A80"/>
    <mergeCell ref="C205:F205"/>
    <mergeCell ref="A87:A95"/>
    <mergeCell ref="A97:A104"/>
    <mergeCell ref="A109:B110"/>
    <mergeCell ref="C109:C110"/>
    <mergeCell ref="A112:A113"/>
    <mergeCell ref="A119:B120"/>
    <mergeCell ref="C119:C120"/>
    <mergeCell ref="A122:A123"/>
    <mergeCell ref="A129:B130"/>
    <mergeCell ref="C129:C130"/>
    <mergeCell ref="A132:A133"/>
    <mergeCell ref="C146:C147"/>
    <mergeCell ref="A139:B140"/>
    <mergeCell ref="C201:F201"/>
    <mergeCell ref="C202:F202"/>
    <mergeCell ref="C203:F203"/>
    <mergeCell ref="C204:F204"/>
    <mergeCell ref="A7:G7"/>
    <mergeCell ref="A54:A55"/>
    <mergeCell ref="C198:F198"/>
    <mergeCell ref="C199:F199"/>
    <mergeCell ref="C200:F200"/>
    <mergeCell ref="A178:B179"/>
    <mergeCell ref="C178:C179"/>
    <mergeCell ref="A181:A182"/>
    <mergeCell ref="A184:B185"/>
    <mergeCell ref="C184:C185"/>
    <mergeCell ref="A187:A188"/>
    <mergeCell ref="A190:B191"/>
    <mergeCell ref="C190:C191"/>
    <mergeCell ref="A193:A194"/>
  </mergeCells>
  <pageMargins left="0.45" right="0.15763888888888899" top="0.55069444444444404" bottom="0.19722222222222199" header="0.35416666666666702" footer="0"/>
  <pageSetup paperSize="9" scale="72" fitToHeight="0" orientation="portrait" horizontalDpi="300" verticalDpi="300"/>
  <headerFooter>
    <oddHeader>&amp;C&amp;6 &amp;R&amp;6&amp;P</oddHeader>
    <oddFooter>&amp;L&amp;6                  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I38"/>
  <sheetViews>
    <sheetView topLeftCell="A10" zoomScale="120" zoomScaleNormal="120" workbookViewId="0">
      <selection activeCell="B23" sqref="B23"/>
    </sheetView>
  </sheetViews>
  <sheetFormatPr defaultColWidth="8.7109375" defaultRowHeight="15"/>
  <cols>
    <col min="1" max="1" width="3.140625" style="100" customWidth="1"/>
    <col min="2" max="2" width="76.85546875" style="100" customWidth="1"/>
    <col min="3" max="3" width="31.28515625" style="100" customWidth="1"/>
    <col min="4" max="4" width="18.42578125" style="100" customWidth="1"/>
    <col min="5" max="1023" width="8.7109375" style="100"/>
  </cols>
  <sheetData>
    <row r="2" spans="2:8">
      <c r="C2" s="229"/>
    </row>
    <row r="6" spans="2:8">
      <c r="B6" s="756" t="s">
        <v>38</v>
      </c>
      <c r="C6" s="756"/>
      <c r="D6" s="101"/>
      <c r="E6" s="101"/>
      <c r="F6" s="101"/>
      <c r="G6" s="101"/>
      <c r="H6" s="101"/>
    </row>
    <row r="7" spans="2:8">
      <c r="B7" s="755" t="s">
        <v>295</v>
      </c>
      <c r="C7" s="755"/>
      <c r="D7" s="102"/>
      <c r="E7" s="102"/>
      <c r="F7" s="102"/>
      <c r="G7" s="102"/>
      <c r="H7" s="102"/>
    </row>
    <row r="8" spans="2:8">
      <c r="B8" s="755" t="s">
        <v>43</v>
      </c>
      <c r="C8" s="755"/>
      <c r="D8" s="102"/>
      <c r="E8" s="102"/>
      <c r="F8" s="102"/>
      <c r="G8" s="102"/>
      <c r="H8" s="102"/>
    </row>
    <row r="9" spans="2:8" ht="18.75" customHeight="1">
      <c r="B9" s="757" t="s">
        <v>296</v>
      </c>
      <c r="C9" s="757"/>
    </row>
    <row r="10" spans="2:8" ht="18.75">
      <c r="B10" s="217" t="s">
        <v>297</v>
      </c>
      <c r="C10" s="218" t="s">
        <v>298</v>
      </c>
    </row>
    <row r="11" spans="2:8" ht="15.75">
      <c r="B11" s="103" t="s">
        <v>299</v>
      </c>
      <c r="C11" s="215">
        <f>'Elementação FERD 2027'!F9</f>
        <v>17263330</v>
      </c>
      <c r="D11" s="104"/>
    </row>
    <row r="12" spans="2:8" ht="15.75">
      <c r="B12" s="489" t="s">
        <v>300</v>
      </c>
      <c r="C12" s="215">
        <f>'Elementação FERD 2027'!F46</f>
        <v>18298492</v>
      </c>
      <c r="D12" s="104"/>
    </row>
    <row r="13" spans="2:8" ht="15.75">
      <c r="B13" s="103" t="s">
        <v>301</v>
      </c>
      <c r="C13" s="215">
        <f>'Elementação FERD 2027'!F67</f>
        <v>616391</v>
      </c>
      <c r="D13" s="104"/>
    </row>
    <row r="14" spans="2:8" ht="15.75">
      <c r="B14" s="489" t="s">
        <v>302</v>
      </c>
      <c r="C14" s="215">
        <f>'Elementação FERD 2027'!F81</f>
        <v>2802956</v>
      </c>
      <c r="D14" s="104"/>
    </row>
    <row r="15" spans="2:8" ht="15.75">
      <c r="B15" s="103" t="s">
        <v>303</v>
      </c>
      <c r="C15" s="215">
        <f>'Elementação FERD 2027'!F163</f>
        <v>33244659.002</v>
      </c>
      <c r="D15" s="104"/>
    </row>
    <row r="16" spans="2:8" ht="15.75">
      <c r="B16" s="489" t="s">
        <v>304</v>
      </c>
      <c r="C16" s="215">
        <f>'Elementação FERD 2027'!F205</f>
        <v>35106446</v>
      </c>
      <c r="D16" s="104"/>
    </row>
    <row r="17" spans="2:4" ht="15.75">
      <c r="B17" s="103" t="s">
        <v>305</v>
      </c>
      <c r="C17" s="215">
        <f>'Elementação FERD 2027'!F96</f>
        <v>10419195</v>
      </c>
      <c r="D17" s="104"/>
    </row>
    <row r="18" spans="2:4" ht="15.75">
      <c r="B18" s="103" t="s">
        <v>306</v>
      </c>
      <c r="C18" s="215">
        <f>'Elementação FERD 2027'!F105</f>
        <v>55399.999999999993</v>
      </c>
      <c r="D18" s="104"/>
    </row>
    <row r="19" spans="2:4" ht="15.75">
      <c r="B19" s="103" t="s">
        <v>307</v>
      </c>
      <c r="C19" s="215">
        <f>'Elementação FERD 2027'!F113</f>
        <v>55399.999999999993</v>
      </c>
      <c r="D19" s="104"/>
    </row>
    <row r="20" spans="2:4" ht="15.75">
      <c r="B20" s="103" t="s">
        <v>308</v>
      </c>
      <c r="C20" s="215">
        <f>'Elementação FERD 2027'!F121</f>
        <v>1000000</v>
      </c>
      <c r="D20" s="104"/>
    </row>
    <row r="21" spans="2:4" ht="15.75">
      <c r="B21" s="489" t="s">
        <v>309</v>
      </c>
      <c r="C21" s="215">
        <f>'Elementação FERD 2027'!F129</f>
        <v>9299750</v>
      </c>
      <c r="D21" s="104"/>
    </row>
    <row r="22" spans="2:4" ht="15.75">
      <c r="B22" s="103" t="s">
        <v>310</v>
      </c>
      <c r="C22" s="215">
        <f>'Elementação FERD 2027'!F153</f>
        <v>1000000</v>
      </c>
      <c r="D22" s="104"/>
    </row>
    <row r="23" spans="2:4" ht="15.75">
      <c r="B23" s="489" t="s">
        <v>311</v>
      </c>
      <c r="C23" s="215">
        <f>'Elementação FERD 2027'!F143</f>
        <v>19698261</v>
      </c>
      <c r="D23" s="104"/>
    </row>
    <row r="24" spans="2:4" ht="15.75">
      <c r="B24" s="103" t="s">
        <v>312</v>
      </c>
      <c r="C24" s="215">
        <f>'Elementação FERD 2027'!F224</f>
        <v>15094870</v>
      </c>
      <c r="D24" s="104"/>
    </row>
    <row r="25" spans="2:4" ht="15.75">
      <c r="B25" s="103" t="s">
        <v>313</v>
      </c>
      <c r="C25" s="215">
        <f>'Elementação FERD 2027'!F249</f>
        <v>2833720</v>
      </c>
      <c r="D25" s="104"/>
    </row>
    <row r="26" spans="2:4" ht="15.75">
      <c r="B26" s="103" t="s">
        <v>314</v>
      </c>
      <c r="C26" s="215">
        <f>'Elementação FERD 2027'!F281</f>
        <v>1711130</v>
      </c>
      <c r="D26" s="104"/>
    </row>
    <row r="27" spans="2:4" ht="15.75">
      <c r="B27" s="103" t="s">
        <v>315</v>
      </c>
      <c r="C27" s="215">
        <f>'Elementação FERD 2027'!F270</f>
        <v>3500000</v>
      </c>
      <c r="D27" s="104"/>
    </row>
    <row r="28" spans="2:4" ht="18.75">
      <c r="B28" s="217" t="s">
        <v>215</v>
      </c>
      <c r="C28" s="219">
        <f>SUM(C11:C27)</f>
        <v>172000000.002</v>
      </c>
    </row>
    <row r="30" spans="2:4" ht="18.75">
      <c r="B30" s="220" t="s">
        <v>316</v>
      </c>
      <c r="C30" s="220" t="s">
        <v>317</v>
      </c>
    </row>
    <row r="31" spans="2:4" ht="15.75">
      <c r="B31" s="535" t="s">
        <v>318</v>
      </c>
      <c r="C31" s="105">
        <f>(C11+C12)/C28</f>
        <v>0.20675477906736331</v>
      </c>
    </row>
    <row r="32" spans="2:4" ht="15.75">
      <c r="B32" s="535" t="s">
        <v>319</v>
      </c>
      <c r="C32" s="105">
        <f>(C13+C14)/C28</f>
        <v>1.9879924418373489E-2</v>
      </c>
    </row>
    <row r="33" spans="2:3" ht="18.75">
      <c r="B33" s="217" t="s">
        <v>320</v>
      </c>
      <c r="C33" s="216">
        <f>SUM(C31:C32)</f>
        <v>0.2266347034857368</v>
      </c>
    </row>
    <row r="34" spans="2:3">
      <c r="B34" s="106"/>
    </row>
    <row r="37" spans="2:3">
      <c r="B37" s="755" t="s">
        <v>321</v>
      </c>
      <c r="C37" s="755"/>
    </row>
    <row r="38" spans="2:3">
      <c r="B38" s="755" t="s">
        <v>322</v>
      </c>
      <c r="C38" s="755"/>
    </row>
  </sheetData>
  <mergeCells count="6">
    <mergeCell ref="B38:C38"/>
    <mergeCell ref="B6:C6"/>
    <mergeCell ref="B7:C7"/>
    <mergeCell ref="B8:C8"/>
    <mergeCell ref="B9:C9"/>
    <mergeCell ref="B37:C37"/>
  </mergeCells>
  <printOptions horizontalCentered="1"/>
  <pageMargins left="0.25" right="0.25" top="0.75" bottom="0.75" header="0.3" footer="0.3"/>
  <pageSetup paperSize="9" scale="95" fitToWidth="0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38"/>
  <sheetViews>
    <sheetView topLeftCell="A5" zoomScale="120" zoomScaleNormal="120" workbookViewId="0">
      <selection activeCell="E25" sqref="E25"/>
    </sheetView>
  </sheetViews>
  <sheetFormatPr defaultColWidth="11.7109375" defaultRowHeight="12.75"/>
  <cols>
    <col min="1" max="1" width="4.42578125" customWidth="1"/>
    <col min="2" max="2" width="103.7109375" customWidth="1"/>
    <col min="3" max="3" width="24.5703125" customWidth="1"/>
    <col min="5" max="5" width="18" bestFit="1" customWidth="1"/>
    <col min="6" max="6" width="14.7109375" customWidth="1"/>
  </cols>
  <sheetData>
    <row r="2" spans="2:4" ht="15">
      <c r="D2" s="235"/>
    </row>
    <row r="4" spans="2:4" ht="27" customHeight="1"/>
    <row r="5" spans="2:4" ht="15">
      <c r="B5" s="759" t="s">
        <v>38</v>
      </c>
      <c r="C5" s="759"/>
    </row>
    <row r="6" spans="2:4" ht="15">
      <c r="B6" s="758" t="s">
        <v>295</v>
      </c>
      <c r="C6" s="758"/>
    </row>
    <row r="7" spans="2:4" ht="15">
      <c r="B7" s="758" t="s">
        <v>43</v>
      </c>
      <c r="C7" s="758"/>
    </row>
    <row r="9" spans="2:4" ht="18.75">
      <c r="B9" s="760" t="s">
        <v>323</v>
      </c>
      <c r="C9" s="760"/>
    </row>
    <row r="10" spans="2:4" ht="21.75" customHeight="1">
      <c r="B10" s="533" t="s">
        <v>297</v>
      </c>
      <c r="C10" s="533" t="s">
        <v>298</v>
      </c>
    </row>
    <row r="11" spans="2:4" ht="15.75">
      <c r="B11" s="135" t="s">
        <v>299</v>
      </c>
      <c r="C11" s="136">
        <f>'ElementaçãoTesouro 2027'!G10</f>
        <v>508446790</v>
      </c>
      <c r="D11" s="137"/>
    </row>
    <row r="12" spans="2:4" ht="15.75">
      <c r="B12" s="135" t="s">
        <v>301</v>
      </c>
      <c r="C12" s="136">
        <f>'ElementaçãoTesouro 2027'!G32</f>
        <v>105185620</v>
      </c>
      <c r="D12" s="137"/>
    </row>
    <row r="13" spans="2:4" ht="15.75">
      <c r="B13" s="135" t="s">
        <v>303</v>
      </c>
      <c r="C13" s="136">
        <f>'ElementaçãoTesouro 2027'!G85</f>
        <v>198254116</v>
      </c>
      <c r="D13" s="137"/>
    </row>
    <row r="14" spans="2:4" ht="15.75">
      <c r="B14" s="135" t="s">
        <v>314</v>
      </c>
      <c r="C14" s="136">
        <f>'ElementaçãoTesouro 2027'!G53</f>
        <v>826815</v>
      </c>
      <c r="D14" s="137"/>
    </row>
    <row r="15" spans="2:4" ht="15.75">
      <c r="B15" s="135" t="s">
        <v>324</v>
      </c>
      <c r="C15" s="136">
        <f>'ElementaçãoTesouro 2027'!G63</f>
        <v>700000</v>
      </c>
      <c r="D15" s="137"/>
    </row>
    <row r="16" spans="2:4" ht="15.75">
      <c r="B16" s="135" t="s">
        <v>325</v>
      </c>
      <c r="C16" s="136">
        <f>'ElementaçãoTesouro 2027'!G141</f>
        <v>87999000</v>
      </c>
      <c r="D16" s="137"/>
    </row>
    <row r="17" spans="2:6" ht="15.75">
      <c r="B17" s="135" t="s">
        <v>326</v>
      </c>
      <c r="C17" s="136">
        <f>'ElementaçãoTesouro 2027'!G152</f>
        <v>12845584</v>
      </c>
      <c r="D17" s="137"/>
    </row>
    <row r="18" spans="2:6" ht="15.75">
      <c r="B18" s="135" t="s">
        <v>327</v>
      </c>
      <c r="C18" s="136">
        <f>'ElementaçãoTesouro 2027'!G163</f>
        <v>28531480</v>
      </c>
      <c r="D18" s="137"/>
    </row>
    <row r="19" spans="2:6" ht="15.75">
      <c r="B19" s="135" t="s">
        <v>328</v>
      </c>
      <c r="C19" s="136">
        <f>'ElementaçãoTesouro 2027'!G186</f>
        <v>120000</v>
      </c>
      <c r="D19" s="137"/>
    </row>
    <row r="20" spans="2:6" ht="15.75">
      <c r="B20" s="135" t="s">
        <v>329</v>
      </c>
      <c r="C20" s="136">
        <f>'ElementaçãoTesouro 2027'!G192</f>
        <v>150000</v>
      </c>
      <c r="D20" s="137"/>
    </row>
    <row r="21" spans="2:6" ht="15.75">
      <c r="B21" s="135" t="s">
        <v>330</v>
      </c>
      <c r="C21" s="136">
        <f>'ElementaçãoTesouro 2027'!G174</f>
        <v>20000</v>
      </c>
      <c r="D21" s="137"/>
    </row>
    <row r="22" spans="2:6" ht="15.75">
      <c r="B22" s="135" t="s">
        <v>331</v>
      </c>
      <c r="C22" s="136">
        <f>'ElementaçãoTesouro 2027'!G180</f>
        <v>120000</v>
      </c>
      <c r="D22" s="137"/>
    </row>
    <row r="23" spans="2:6" ht="15.75">
      <c r="B23" s="135" t="s">
        <v>332</v>
      </c>
      <c r="C23" s="136">
        <f>'ElementaçãoTesouro 2027'!G78</f>
        <v>7965000</v>
      </c>
      <c r="D23" s="137"/>
    </row>
    <row r="24" spans="2:6" ht="15.75">
      <c r="B24" s="103" t="s">
        <v>310</v>
      </c>
      <c r="C24" s="136">
        <f>'ElementaçãoTesouro 2027'!G111</f>
        <v>1000</v>
      </c>
      <c r="D24" s="137"/>
    </row>
    <row r="25" spans="2:6" ht="15.75">
      <c r="B25" s="103" t="s">
        <v>333</v>
      </c>
      <c r="C25" s="136">
        <f>'ElementaçãoTesouro 2027'!G121</f>
        <v>1000</v>
      </c>
      <c r="D25" s="137"/>
    </row>
    <row r="26" spans="2:6" ht="15.75">
      <c r="B26" s="103" t="s">
        <v>334</v>
      </c>
      <c r="C26" s="136">
        <f>'ElementaçãoTesouro 2027'!G131</f>
        <v>1000</v>
      </c>
      <c r="D26" s="137"/>
    </row>
    <row r="27" spans="2:6" ht="15.75">
      <c r="B27" s="221" t="s">
        <v>215</v>
      </c>
      <c r="C27" s="222">
        <f>SUM(C11:C26)</f>
        <v>951167405</v>
      </c>
      <c r="D27" s="137"/>
    </row>
    <row r="30" spans="2:6" ht="18.75" customHeight="1">
      <c r="B30" s="533" t="s">
        <v>335</v>
      </c>
      <c r="C30" s="533" t="s">
        <v>317</v>
      </c>
    </row>
    <row r="31" spans="2:6" ht="15.75">
      <c r="B31" s="534" t="s">
        <v>318</v>
      </c>
      <c r="C31" s="483">
        <f>(C11+C16+C19+C20+C21+C22)/C27</f>
        <v>0.62749815317735791</v>
      </c>
      <c r="E31" s="485"/>
      <c r="F31" s="34"/>
    </row>
    <row r="32" spans="2:6" ht="15.75">
      <c r="B32" s="534" t="s">
        <v>319</v>
      </c>
      <c r="C32" s="483">
        <f>(C12+C17)/C27</f>
        <v>0.12409088387548352</v>
      </c>
      <c r="F32" s="484"/>
    </row>
    <row r="33" spans="2:3" ht="21" customHeight="1">
      <c r="B33" s="533" t="s">
        <v>320</v>
      </c>
      <c r="C33" s="223">
        <f>SUM(C31:C32)</f>
        <v>0.75158903705284141</v>
      </c>
    </row>
    <row r="34" spans="2:3">
      <c r="B34" s="138"/>
    </row>
    <row r="37" spans="2:3" ht="15">
      <c r="B37" s="755" t="s">
        <v>321</v>
      </c>
      <c r="C37" s="755"/>
    </row>
    <row r="38" spans="2:3" ht="15">
      <c r="B38" s="758" t="s">
        <v>322</v>
      </c>
      <c r="C38" s="758"/>
    </row>
  </sheetData>
  <mergeCells count="6">
    <mergeCell ref="B38:C38"/>
    <mergeCell ref="B5:C5"/>
    <mergeCell ref="B6:C6"/>
    <mergeCell ref="B7:C7"/>
    <mergeCell ref="B9:C9"/>
    <mergeCell ref="B37:C37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8"/>
  <sheetViews>
    <sheetView topLeftCell="A10" workbookViewId="0">
      <selection activeCell="F23" sqref="F23"/>
    </sheetView>
  </sheetViews>
  <sheetFormatPr defaultRowHeight="12.75"/>
  <cols>
    <col min="1" max="1" width="104.5703125" customWidth="1"/>
    <col min="2" max="2" width="21.140625" bestFit="1" customWidth="1"/>
    <col min="3" max="3" width="19.7109375" customWidth="1"/>
    <col min="4" max="4" width="22.7109375" bestFit="1" customWidth="1"/>
  </cols>
  <sheetData>
    <row r="1" spans="1:5" ht="23.25" customHeight="1">
      <c r="A1" s="230"/>
      <c r="B1" s="230"/>
      <c r="C1" s="230"/>
      <c r="D1" s="230"/>
      <c r="E1" s="230"/>
    </row>
    <row r="2" spans="1:5">
      <c r="A2" s="230"/>
      <c r="B2" s="230"/>
      <c r="C2" s="230"/>
      <c r="D2" s="230"/>
      <c r="E2" s="230"/>
    </row>
    <row r="3" spans="1:5" ht="26.25" customHeight="1">
      <c r="A3" s="230"/>
      <c r="B3" s="230"/>
      <c r="C3" s="230"/>
      <c r="D3" s="230"/>
      <c r="E3" s="230"/>
    </row>
    <row r="4" spans="1:5">
      <c r="A4" s="230"/>
      <c r="B4" s="230"/>
      <c r="C4" s="230"/>
      <c r="D4" s="230"/>
      <c r="E4" s="231"/>
    </row>
    <row r="5" spans="1:5">
      <c r="A5" s="230"/>
      <c r="B5" s="230"/>
      <c r="C5" s="230"/>
      <c r="D5" s="230"/>
      <c r="E5" s="230"/>
    </row>
    <row r="6" spans="1:5">
      <c r="A6" s="767" t="s">
        <v>38</v>
      </c>
      <c r="B6" s="767"/>
      <c r="C6" s="767"/>
      <c r="D6" s="767"/>
      <c r="E6" s="230"/>
    </row>
    <row r="7" spans="1:5">
      <c r="A7" s="767" t="s">
        <v>295</v>
      </c>
      <c r="B7" s="767"/>
      <c r="C7" s="767"/>
      <c r="D7" s="767"/>
      <c r="E7" s="230"/>
    </row>
    <row r="8" spans="1:5">
      <c r="A8" s="767" t="s">
        <v>43</v>
      </c>
      <c r="B8" s="767"/>
      <c r="C8" s="767"/>
      <c r="D8" s="767"/>
      <c r="E8" s="230"/>
    </row>
    <row r="9" spans="1:5" ht="18">
      <c r="A9" s="768" t="s">
        <v>336</v>
      </c>
      <c r="B9" s="768"/>
      <c r="C9" s="768"/>
      <c r="D9" s="768"/>
      <c r="E9" s="230"/>
    </row>
    <row r="10" spans="1:5" ht="23.25" customHeight="1">
      <c r="A10" s="523" t="s">
        <v>337</v>
      </c>
      <c r="B10" s="523" t="s">
        <v>338</v>
      </c>
      <c r="C10" s="523" t="s">
        <v>339</v>
      </c>
      <c r="D10" s="523" t="s">
        <v>340</v>
      </c>
      <c r="E10" s="230"/>
    </row>
    <row r="11" spans="1:5" ht="15.75">
      <c r="A11" s="232" t="s">
        <v>299</v>
      </c>
      <c r="B11" s="233">
        <f>'ElementaçãoTesouro 2027'!G10</f>
        <v>508446790</v>
      </c>
      <c r="C11" s="233">
        <f>'Elementação FERD 2027'!F9</f>
        <v>17263330</v>
      </c>
      <c r="D11" s="233">
        <f t="shared" ref="D11:D35" si="0">B11+C11</f>
        <v>525710120</v>
      </c>
      <c r="E11" s="230"/>
    </row>
    <row r="12" spans="1:5" ht="15.75">
      <c r="A12" s="232" t="s">
        <v>301</v>
      </c>
      <c r="B12" s="233">
        <f>'ElementaçãoTesouro 2027'!G32</f>
        <v>105185620</v>
      </c>
      <c r="C12" s="233">
        <f>'Elementação FERD 2027'!F67</f>
        <v>616391</v>
      </c>
      <c r="D12" s="233">
        <f t="shared" si="0"/>
        <v>105802011</v>
      </c>
      <c r="E12" s="230"/>
    </row>
    <row r="13" spans="1:5" ht="15.75">
      <c r="A13" s="232" t="s">
        <v>314</v>
      </c>
      <c r="B13" s="233">
        <f>'ElementaçãoTesouro 2027'!G53</f>
        <v>826815</v>
      </c>
      <c r="C13" s="233">
        <f>'Elementação FERD 2027'!F281</f>
        <v>1711130</v>
      </c>
      <c r="D13" s="233">
        <f>B13+C13</f>
        <v>2537945</v>
      </c>
      <c r="E13" s="230"/>
    </row>
    <row r="14" spans="1:5" ht="15.75">
      <c r="A14" s="232" t="s">
        <v>324</v>
      </c>
      <c r="B14" s="233">
        <f>'ElementaçãoTesouro 2027'!G63</f>
        <v>700000</v>
      </c>
      <c r="C14" s="234"/>
      <c r="D14" s="233">
        <f t="shared" si="0"/>
        <v>700000</v>
      </c>
      <c r="E14" s="230"/>
    </row>
    <row r="15" spans="1:5" ht="15.75">
      <c r="A15" s="232" t="s">
        <v>303</v>
      </c>
      <c r="B15" s="233">
        <f>'ElementaçãoTesouro 2027'!G85</f>
        <v>198254116</v>
      </c>
      <c r="C15" s="233">
        <f>'Elementação FERD 2027'!F163</f>
        <v>33244659.002</v>
      </c>
      <c r="D15" s="233">
        <f t="shared" si="0"/>
        <v>231498775.002</v>
      </c>
      <c r="E15" s="230"/>
    </row>
    <row r="16" spans="1:5" ht="15.75">
      <c r="A16" s="232" t="s">
        <v>332</v>
      </c>
      <c r="B16" s="233">
        <f>'ElementaçãoTesouro 2027'!G78</f>
        <v>7965000</v>
      </c>
      <c r="C16" s="234"/>
      <c r="D16" s="233">
        <f t="shared" si="0"/>
        <v>7965000</v>
      </c>
      <c r="E16" s="230"/>
    </row>
    <row r="17" spans="1:5" ht="15.75">
      <c r="A17" s="232" t="s">
        <v>325</v>
      </c>
      <c r="B17" s="233">
        <f>'AÇÕES ORÇAMENTÁRIAS DO TESOURO'!C16</f>
        <v>87999000</v>
      </c>
      <c r="C17" s="490">
        <f>'Elementação FERD 2027'!F46</f>
        <v>18298492</v>
      </c>
      <c r="D17" s="233">
        <f t="shared" si="0"/>
        <v>106297492</v>
      </c>
      <c r="E17" s="230"/>
    </row>
    <row r="18" spans="1:5" ht="15.75">
      <c r="A18" s="232" t="s">
        <v>326</v>
      </c>
      <c r="B18" s="233">
        <f>'AÇÕES ORÇAMENTÁRIAS DO TESOURO'!C17</f>
        <v>12845584</v>
      </c>
      <c r="C18" s="490">
        <f>'Elementação FERD 2027'!F81</f>
        <v>2802956</v>
      </c>
      <c r="D18" s="233">
        <f t="shared" si="0"/>
        <v>15648540</v>
      </c>
      <c r="E18" s="230"/>
    </row>
    <row r="19" spans="1:5" ht="15.75">
      <c r="A19" s="232" t="s">
        <v>327</v>
      </c>
      <c r="B19" s="233">
        <f>'AÇÕES ORÇAMENTÁRIAS DO TESOURO'!C18</f>
        <v>28531480</v>
      </c>
      <c r="C19" s="490">
        <f>'Elementação FERD 2027'!F205</f>
        <v>35106446</v>
      </c>
      <c r="D19" s="233">
        <f t="shared" si="0"/>
        <v>63637926</v>
      </c>
      <c r="E19" s="230"/>
    </row>
    <row r="20" spans="1:5" ht="15.75">
      <c r="A20" s="232" t="s">
        <v>328</v>
      </c>
      <c r="B20" s="233">
        <f>'AÇÕES ORÇAMENTÁRIAS DO TESOURO'!C19</f>
        <v>120000</v>
      </c>
      <c r="C20" s="490"/>
      <c r="D20" s="233">
        <f t="shared" si="0"/>
        <v>120000</v>
      </c>
      <c r="E20" s="230"/>
    </row>
    <row r="21" spans="1:5" ht="15.75">
      <c r="A21" s="232" t="s">
        <v>329</v>
      </c>
      <c r="B21" s="233">
        <f>'AÇÕES ORÇAMENTÁRIAS DO TESOURO'!C20</f>
        <v>150000</v>
      </c>
      <c r="C21" s="490"/>
      <c r="D21" s="233">
        <f t="shared" si="0"/>
        <v>150000</v>
      </c>
      <c r="E21" s="230"/>
    </row>
    <row r="22" spans="1:5" ht="15.75">
      <c r="A22" s="232" t="s">
        <v>330</v>
      </c>
      <c r="B22" s="233">
        <f>'AÇÕES ORÇAMENTÁRIAS DO TESOURO'!C21</f>
        <v>20000</v>
      </c>
      <c r="C22" s="490"/>
      <c r="D22" s="233">
        <f t="shared" si="0"/>
        <v>20000</v>
      </c>
      <c r="E22" s="230"/>
    </row>
    <row r="23" spans="1:5" ht="15.75">
      <c r="A23" s="232" t="s">
        <v>331</v>
      </c>
      <c r="B23" s="233">
        <f>'AÇÕES ORÇAMENTÁRIAS DO TESOURO'!C22</f>
        <v>120000</v>
      </c>
      <c r="C23" s="490"/>
      <c r="D23" s="233">
        <f t="shared" si="0"/>
        <v>120000</v>
      </c>
      <c r="E23" s="230"/>
    </row>
    <row r="24" spans="1:5" ht="15.75">
      <c r="A24" s="232" t="s">
        <v>313</v>
      </c>
      <c r="B24" s="234"/>
      <c r="C24" s="233">
        <f>'Elementação FERD 2027'!F249</f>
        <v>2833720</v>
      </c>
      <c r="D24" s="233">
        <f t="shared" si="0"/>
        <v>2833720</v>
      </c>
      <c r="E24" s="230"/>
    </row>
    <row r="25" spans="1:5" ht="15.75">
      <c r="A25" s="232" t="s">
        <v>306</v>
      </c>
      <c r="B25" s="234"/>
      <c r="C25" s="233">
        <f>'Elementação FERD 2027'!F105</f>
        <v>55399.999999999993</v>
      </c>
      <c r="D25" s="233">
        <f t="shared" si="0"/>
        <v>55399.999999999993</v>
      </c>
      <c r="E25" s="230"/>
    </row>
    <row r="26" spans="1:5" ht="15.75">
      <c r="A26" s="232" t="s">
        <v>305</v>
      </c>
      <c r="B26" s="234"/>
      <c r="C26" s="233">
        <f>'Elementação FERD 2027'!F96</f>
        <v>10419195</v>
      </c>
      <c r="D26" s="233">
        <f t="shared" si="0"/>
        <v>10419195</v>
      </c>
      <c r="E26" s="230"/>
    </row>
    <row r="27" spans="1:5" ht="15.75">
      <c r="A27" s="232" t="s">
        <v>312</v>
      </c>
      <c r="B27" s="234"/>
      <c r="C27" s="233">
        <f>'Elementação FERD 2027'!F224</f>
        <v>15094870</v>
      </c>
      <c r="D27" s="233">
        <f t="shared" si="0"/>
        <v>15094870</v>
      </c>
      <c r="E27" s="230"/>
    </row>
    <row r="28" spans="1:5" ht="15.75">
      <c r="A28" s="232" t="s">
        <v>341</v>
      </c>
      <c r="B28" s="234"/>
      <c r="C28" s="233">
        <f>'Elementação FERD 2027'!F113</f>
        <v>55399.999999999993</v>
      </c>
      <c r="D28" s="233">
        <f t="shared" si="0"/>
        <v>55399.999999999993</v>
      </c>
      <c r="E28" s="230"/>
    </row>
    <row r="29" spans="1:5" ht="15.75">
      <c r="A29" s="232" t="s">
        <v>308</v>
      </c>
      <c r="B29" s="233"/>
      <c r="C29" s="233">
        <f>'Elementação FERD 2027'!F121</f>
        <v>1000000</v>
      </c>
      <c r="D29" s="233">
        <f t="shared" si="0"/>
        <v>1000000</v>
      </c>
      <c r="E29" s="230"/>
    </row>
    <row r="30" spans="1:5" ht="15.75">
      <c r="A30" s="232" t="s">
        <v>310</v>
      </c>
      <c r="B30" s="233">
        <f>'ElementaçãoTesouro 2027'!G111</f>
        <v>1000</v>
      </c>
      <c r="C30" s="233">
        <f>'Elementação FERD 2027'!F153</f>
        <v>1000000</v>
      </c>
      <c r="D30" s="233">
        <f t="shared" si="0"/>
        <v>1001000</v>
      </c>
      <c r="E30" s="230"/>
    </row>
    <row r="31" spans="1:5" ht="15.75">
      <c r="A31" s="232" t="s">
        <v>342</v>
      </c>
      <c r="B31" s="233"/>
      <c r="C31" s="233">
        <f>'Elementação FERD 2027'!F270</f>
        <v>3500000</v>
      </c>
      <c r="D31" s="233">
        <f t="shared" si="0"/>
        <v>3500000</v>
      </c>
      <c r="E31" s="230"/>
    </row>
    <row r="32" spans="1:5" ht="15.75">
      <c r="A32" s="103" t="s">
        <v>333</v>
      </c>
      <c r="B32" s="233">
        <f>'ElementaçãoTesouro 2027'!G121</f>
        <v>1000</v>
      </c>
      <c r="C32" s="233"/>
      <c r="D32" s="233">
        <f t="shared" si="0"/>
        <v>1000</v>
      </c>
      <c r="E32" s="230"/>
    </row>
    <row r="33" spans="1:5" ht="15.75">
      <c r="A33" s="488" t="s">
        <v>334</v>
      </c>
      <c r="B33" s="233">
        <f>'ElementaçãoTesouro 2027'!G131</f>
        <v>1000</v>
      </c>
      <c r="C33" s="233"/>
      <c r="D33" s="233">
        <f t="shared" si="0"/>
        <v>1000</v>
      </c>
      <c r="E33" s="230"/>
    </row>
    <row r="34" spans="1:5" ht="15.75">
      <c r="A34" s="486" t="s">
        <v>343</v>
      </c>
      <c r="B34" s="487"/>
      <c r="C34" s="233">
        <f>'Elementação FERD 2027'!F129</f>
        <v>9299750</v>
      </c>
      <c r="D34" s="233">
        <f t="shared" si="0"/>
        <v>9299750</v>
      </c>
      <c r="E34" s="230"/>
    </row>
    <row r="35" spans="1:5" ht="15.75">
      <c r="A35" s="486" t="s">
        <v>344</v>
      </c>
      <c r="B35" s="487"/>
      <c r="C35" s="233">
        <f>'Elementação FERD 2027'!F143</f>
        <v>19698261</v>
      </c>
      <c r="D35" s="233">
        <f t="shared" si="0"/>
        <v>19698261</v>
      </c>
      <c r="E35" s="230"/>
    </row>
    <row r="36" spans="1:5" ht="27" customHeight="1">
      <c r="A36" s="536" t="s">
        <v>215</v>
      </c>
      <c r="B36" s="537">
        <f>SUM(B11:B35)</f>
        <v>951167405</v>
      </c>
      <c r="C36" s="537">
        <f>SUM(C11:C35)</f>
        <v>172000000.002</v>
      </c>
      <c r="D36" s="537">
        <f>SUM(D11:D35)</f>
        <v>1123167405.0019999</v>
      </c>
      <c r="E36" s="230"/>
    </row>
    <row r="37" spans="1:5">
      <c r="A37" s="230"/>
      <c r="B37" s="230"/>
      <c r="C37" s="230"/>
      <c r="D37" s="230"/>
      <c r="E37" s="230"/>
    </row>
    <row r="38" spans="1:5">
      <c r="A38" s="230"/>
      <c r="B38" s="230"/>
      <c r="C38" s="230"/>
      <c r="D38" s="230"/>
      <c r="E38" s="230"/>
    </row>
    <row r="39" spans="1:5" ht="19.5" customHeight="1">
      <c r="A39" s="764" t="s">
        <v>345</v>
      </c>
      <c r="B39" s="765"/>
      <c r="C39" s="766"/>
      <c r="D39" s="523" t="s">
        <v>317</v>
      </c>
      <c r="E39" s="230"/>
    </row>
    <row r="40" spans="1:5" ht="15.75">
      <c r="A40" s="761" t="s">
        <v>318</v>
      </c>
      <c r="B40" s="762"/>
      <c r="C40" s="763"/>
      <c r="D40" s="521">
        <f>(D11+D17+D20+D21+D22+D23)/D36</f>
        <v>0.56306620828163545</v>
      </c>
      <c r="E40" s="230"/>
    </row>
    <row r="41" spans="1:5" ht="15.75">
      <c r="A41" s="761" t="s">
        <v>319</v>
      </c>
      <c r="B41" s="762"/>
      <c r="C41" s="763"/>
      <c r="D41" s="521">
        <f>(D12+D18)/D36</f>
        <v>0.10813218978677872</v>
      </c>
      <c r="E41" s="230"/>
    </row>
    <row r="42" spans="1:5" ht="24" customHeight="1">
      <c r="A42" s="764" t="s">
        <v>320</v>
      </c>
      <c r="B42" s="765"/>
      <c r="C42" s="766"/>
      <c r="D42" s="522">
        <f>D40+D41</f>
        <v>0.67119839806841419</v>
      </c>
      <c r="E42" s="230"/>
    </row>
    <row r="43" spans="1:5">
      <c r="A43" s="230"/>
      <c r="B43" s="230"/>
      <c r="C43" s="230"/>
      <c r="D43" s="230"/>
      <c r="E43" s="230"/>
    </row>
    <row r="44" spans="1:5">
      <c r="A44" s="230"/>
      <c r="B44" s="230"/>
      <c r="C44" s="230"/>
      <c r="D44" s="230"/>
      <c r="E44" s="230"/>
    </row>
    <row r="45" spans="1:5">
      <c r="A45" s="230"/>
      <c r="B45" s="230"/>
      <c r="C45" s="230"/>
      <c r="D45" s="230"/>
      <c r="E45" s="230"/>
    </row>
    <row r="46" spans="1:5">
      <c r="A46" s="230"/>
      <c r="B46" s="230"/>
      <c r="C46" s="230"/>
      <c r="D46" s="230"/>
      <c r="E46" s="230"/>
    </row>
    <row r="47" spans="1:5">
      <c r="A47" s="230"/>
      <c r="B47" s="230"/>
      <c r="C47" s="230"/>
      <c r="D47" s="230"/>
      <c r="E47" s="230"/>
    </row>
    <row r="48" spans="1:5">
      <c r="A48" s="230"/>
      <c r="B48" s="230"/>
      <c r="C48" s="230"/>
      <c r="D48" s="230"/>
      <c r="E48" s="230"/>
    </row>
  </sheetData>
  <mergeCells count="8">
    <mergeCell ref="A41:C41"/>
    <mergeCell ref="A42:C42"/>
    <mergeCell ref="A6:D6"/>
    <mergeCell ref="A7:D7"/>
    <mergeCell ref="A8:D8"/>
    <mergeCell ref="A9:D9"/>
    <mergeCell ref="A39:C39"/>
    <mergeCell ref="A40:C40"/>
  </mergeCells>
  <pageMargins left="0.25" right="0.25" top="0.75" bottom="0.75" header="0.3" footer="0.3"/>
  <pageSetup paperSize="9" scale="95" fitToWidth="0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59"/>
  <sheetViews>
    <sheetView topLeftCell="A20" workbookViewId="0">
      <selection activeCell="B6" sqref="B6"/>
    </sheetView>
  </sheetViews>
  <sheetFormatPr defaultRowHeight="15"/>
  <cols>
    <col min="1" max="1" width="9.140625" style="236"/>
    <col min="2" max="2" width="30.28515625" style="236" customWidth="1"/>
    <col min="3" max="3" width="11.140625" style="236" bestFit="1" customWidth="1"/>
    <col min="4" max="4" width="16" style="236" bestFit="1" customWidth="1"/>
    <col min="5" max="5" width="15" style="236" bestFit="1" customWidth="1"/>
    <col min="6" max="6" width="9.140625" style="236"/>
    <col min="7" max="7" width="81.42578125" style="236" customWidth="1"/>
    <col min="8" max="8" width="20.42578125" style="236" customWidth="1"/>
    <col min="9" max="9" width="26.5703125" style="236" customWidth="1"/>
    <col min="10" max="11" width="9.140625" style="236"/>
    <col min="12" max="12" width="14.140625" style="236" bestFit="1" customWidth="1"/>
    <col min="13" max="16384" width="9.140625" style="236"/>
  </cols>
  <sheetData>
    <row r="2" spans="2:9" ht="27.75" customHeight="1"/>
    <row r="4" spans="2:9" ht="21" customHeight="1"/>
    <row r="6" spans="2:9" ht="17.25" customHeight="1">
      <c r="B6" s="771" t="s">
        <v>38</v>
      </c>
      <c r="C6" s="771"/>
      <c r="D6" s="771"/>
      <c r="E6" s="771"/>
      <c r="F6" s="771"/>
      <c r="G6" s="771"/>
      <c r="H6" s="771"/>
      <c r="I6" s="771"/>
    </row>
    <row r="7" spans="2:9" ht="17.25" customHeight="1">
      <c r="B7" s="771" t="s">
        <v>295</v>
      </c>
      <c r="C7" s="771"/>
      <c r="D7" s="771"/>
      <c r="E7" s="771"/>
      <c r="F7" s="771"/>
      <c r="G7" s="771"/>
      <c r="H7" s="771"/>
      <c r="I7" s="771"/>
    </row>
    <row r="8" spans="2:9" ht="17.25" customHeight="1">
      <c r="B8" s="771" t="s">
        <v>43</v>
      </c>
      <c r="C8" s="771"/>
      <c r="D8" s="771"/>
      <c r="E8" s="771"/>
      <c r="F8" s="771"/>
      <c r="G8" s="771"/>
      <c r="H8" s="771"/>
      <c r="I8" s="771"/>
    </row>
    <row r="10" spans="2:9" ht="21" customHeight="1">
      <c r="B10" s="772" t="s">
        <v>336</v>
      </c>
      <c r="C10" s="772"/>
      <c r="D10" s="772"/>
      <c r="E10" s="772"/>
      <c r="F10" s="772"/>
      <c r="G10" s="772"/>
      <c r="H10" s="772"/>
      <c r="I10" s="772"/>
    </row>
    <row r="11" spans="2:9" ht="35.25" customHeight="1">
      <c r="B11" s="240" t="s">
        <v>346</v>
      </c>
      <c r="C11" s="240" t="s">
        <v>347</v>
      </c>
      <c r="D11" s="240" t="s">
        <v>348</v>
      </c>
      <c r="E11" s="240" t="s">
        <v>349</v>
      </c>
      <c r="F11" s="240" t="s">
        <v>350</v>
      </c>
      <c r="G11" s="240" t="s">
        <v>351</v>
      </c>
      <c r="H11" s="242" t="s">
        <v>352</v>
      </c>
      <c r="I11" s="240" t="s">
        <v>353</v>
      </c>
    </row>
    <row r="12" spans="2:9" ht="17.25" customHeight="1">
      <c r="B12" s="777" t="s">
        <v>354</v>
      </c>
      <c r="C12" s="769" t="s">
        <v>355</v>
      </c>
      <c r="D12" s="769" t="s">
        <v>356</v>
      </c>
      <c r="E12" s="769" t="s">
        <v>7</v>
      </c>
      <c r="F12" s="773" t="s">
        <v>357</v>
      </c>
      <c r="G12" s="775" t="s">
        <v>301</v>
      </c>
      <c r="H12" s="241" t="s">
        <v>358</v>
      </c>
      <c r="I12" s="238">
        <f>'ElementaçãoTesouro 2027'!A34</f>
        <v>101113620</v>
      </c>
    </row>
    <row r="13" spans="2:9" ht="17.25" customHeight="1">
      <c r="B13" s="778"/>
      <c r="C13" s="770"/>
      <c r="D13" s="770"/>
      <c r="E13" s="770"/>
      <c r="F13" s="774"/>
      <c r="G13" s="776"/>
      <c r="H13" s="241" t="s">
        <v>359</v>
      </c>
      <c r="I13" s="238">
        <f>'ElementaçãoTesouro 2027'!A43</f>
        <v>4072000</v>
      </c>
    </row>
    <row r="14" spans="2:9" ht="17.25" customHeight="1">
      <c r="B14" s="778"/>
      <c r="C14" s="769" t="s">
        <v>355</v>
      </c>
      <c r="D14" s="769" t="s">
        <v>356</v>
      </c>
      <c r="E14" s="769" t="s">
        <v>7</v>
      </c>
      <c r="F14" s="773" t="s">
        <v>360</v>
      </c>
      <c r="G14" s="775" t="s">
        <v>299</v>
      </c>
      <c r="H14" s="241" t="s">
        <v>358</v>
      </c>
      <c r="I14" s="238">
        <f>'ElementaçãoTesouro 2027'!A12</f>
        <v>497453790</v>
      </c>
    </row>
    <row r="15" spans="2:9" ht="17.25" customHeight="1">
      <c r="B15" s="778"/>
      <c r="C15" s="770"/>
      <c r="D15" s="770"/>
      <c r="E15" s="770"/>
      <c r="F15" s="774"/>
      <c r="G15" s="776"/>
      <c r="H15" s="241" t="s">
        <v>359</v>
      </c>
      <c r="I15" s="238">
        <f>'ElementaçãoTesouro 2027'!A22</f>
        <v>10993000</v>
      </c>
    </row>
    <row r="16" spans="2:9" ht="17.25" customHeight="1">
      <c r="B16" s="778"/>
      <c r="C16" s="769" t="s">
        <v>355</v>
      </c>
      <c r="D16" s="769" t="s">
        <v>361</v>
      </c>
      <c r="E16" s="769" t="s">
        <v>7</v>
      </c>
      <c r="F16" s="773" t="s">
        <v>362</v>
      </c>
      <c r="G16" s="775" t="s">
        <v>314</v>
      </c>
      <c r="H16" s="241" t="s">
        <v>358</v>
      </c>
      <c r="I16" s="238">
        <f>'ElementaçãoTesouro 2027'!A54</f>
        <v>729122</v>
      </c>
    </row>
    <row r="17" spans="2:9" ht="17.25" customHeight="1">
      <c r="B17" s="778"/>
      <c r="C17" s="770"/>
      <c r="D17" s="770"/>
      <c r="E17" s="770"/>
      <c r="F17" s="774"/>
      <c r="G17" s="776"/>
      <c r="H17" s="241" t="s">
        <v>359</v>
      </c>
      <c r="I17" s="238">
        <f>'ElementaçãoTesouro 2027'!A56</f>
        <v>97693</v>
      </c>
    </row>
    <row r="18" spans="2:9" ht="17.25" customHeight="1">
      <c r="B18" s="778"/>
      <c r="C18" s="780" t="s">
        <v>355</v>
      </c>
      <c r="D18" s="769" t="s">
        <v>356</v>
      </c>
      <c r="E18" s="769" t="s">
        <v>7</v>
      </c>
      <c r="F18" s="773" t="s">
        <v>363</v>
      </c>
      <c r="G18" s="775" t="s">
        <v>324</v>
      </c>
      <c r="H18" s="241" t="s">
        <v>358</v>
      </c>
      <c r="I18" s="238">
        <f>'ElementaçãoTesouro 2027'!A64</f>
        <v>375700</v>
      </c>
    </row>
    <row r="19" spans="2:9" ht="17.25" customHeight="1">
      <c r="B19" s="778"/>
      <c r="C19" s="781"/>
      <c r="D19" s="783"/>
      <c r="E19" s="783"/>
      <c r="F19" s="784"/>
      <c r="G19" s="785"/>
      <c r="H19" s="241" t="s">
        <v>359</v>
      </c>
      <c r="I19" s="238">
        <f>'ElementaçãoTesouro 2027'!A66</f>
        <v>196154</v>
      </c>
    </row>
    <row r="20" spans="2:9" ht="17.25" customHeight="1">
      <c r="B20" s="778"/>
      <c r="C20" s="782"/>
      <c r="D20" s="770"/>
      <c r="E20" s="770"/>
      <c r="F20" s="774"/>
      <c r="G20" s="776"/>
      <c r="H20" s="241" t="s">
        <v>364</v>
      </c>
      <c r="I20" s="238">
        <f>'ElementaçãoTesouro 2027'!A70</f>
        <v>128146</v>
      </c>
    </row>
    <row r="21" spans="2:9" ht="17.25" customHeight="1">
      <c r="B21" s="778"/>
      <c r="C21" s="769" t="s">
        <v>355</v>
      </c>
      <c r="D21" s="769" t="s">
        <v>365</v>
      </c>
      <c r="E21" s="769" t="s">
        <v>366</v>
      </c>
      <c r="F21" s="773" t="s">
        <v>367</v>
      </c>
      <c r="G21" s="775" t="s">
        <v>303</v>
      </c>
      <c r="H21" s="241" t="s">
        <v>358</v>
      </c>
      <c r="I21" s="238">
        <f>'ElementaçãoTesouro 2027'!A87</f>
        <v>195808116</v>
      </c>
    </row>
    <row r="22" spans="2:9" ht="17.25" customHeight="1">
      <c r="B22" s="778"/>
      <c r="C22" s="770"/>
      <c r="D22" s="770"/>
      <c r="E22" s="770"/>
      <c r="F22" s="774"/>
      <c r="G22" s="776"/>
      <c r="H22" s="241" t="s">
        <v>359</v>
      </c>
      <c r="I22" s="238">
        <f>'ElementaçãoTesouro 2027'!A97+'ElementaçãoTesouro 2027'!A105</f>
        <v>2446000</v>
      </c>
    </row>
    <row r="23" spans="2:9" ht="17.25" customHeight="1">
      <c r="B23" s="778"/>
      <c r="C23" s="243" t="s">
        <v>355</v>
      </c>
      <c r="D23" s="244" t="s">
        <v>368</v>
      </c>
      <c r="E23" s="243" t="s">
        <v>369</v>
      </c>
      <c r="F23" s="246" t="s">
        <v>370</v>
      </c>
      <c r="G23" s="245" t="s">
        <v>371</v>
      </c>
      <c r="H23" s="241" t="s">
        <v>358</v>
      </c>
      <c r="I23" s="238">
        <f>'ElementaçãoTesouro 2027'!A79</f>
        <v>7965000</v>
      </c>
    </row>
    <row r="24" spans="2:9" ht="17.25" customHeight="1">
      <c r="B24" s="778"/>
      <c r="C24" s="243" t="s">
        <v>355</v>
      </c>
      <c r="D24" s="244">
        <v>122</v>
      </c>
      <c r="E24" s="243" t="s">
        <v>7</v>
      </c>
      <c r="F24" s="246" t="s">
        <v>372</v>
      </c>
      <c r="G24" s="245" t="s">
        <v>310</v>
      </c>
      <c r="H24" s="241" t="s">
        <v>364</v>
      </c>
      <c r="I24" s="238">
        <f>'ElementaçãoTesouro 2027'!G111</f>
        <v>1000</v>
      </c>
    </row>
    <row r="25" spans="2:9" ht="17.25" customHeight="1">
      <c r="B25" s="778"/>
      <c r="C25" s="243" t="s">
        <v>355</v>
      </c>
      <c r="D25" s="244" t="s">
        <v>356</v>
      </c>
      <c r="E25" s="243" t="s">
        <v>7</v>
      </c>
      <c r="F25" s="360" t="s">
        <v>373</v>
      </c>
      <c r="G25" s="245" t="s">
        <v>333</v>
      </c>
      <c r="H25" s="241" t="s">
        <v>364</v>
      </c>
      <c r="I25" s="238">
        <f>'ElementaçãoTesouro 2027'!G121</f>
        <v>1000</v>
      </c>
    </row>
    <row r="26" spans="2:9" ht="17.25" customHeight="1">
      <c r="B26" s="778"/>
      <c r="C26" s="469" t="s">
        <v>355</v>
      </c>
      <c r="D26" s="491" t="s">
        <v>374</v>
      </c>
      <c r="E26" s="469" t="s">
        <v>7</v>
      </c>
      <c r="F26" s="492" t="s">
        <v>375</v>
      </c>
      <c r="G26" s="471" t="s">
        <v>334</v>
      </c>
      <c r="H26" s="493" t="s">
        <v>364</v>
      </c>
      <c r="I26" s="494">
        <f>'ElementaçãoTesouro 2027'!G131</f>
        <v>1000</v>
      </c>
    </row>
    <row r="27" spans="2:9" ht="17.25" customHeight="1">
      <c r="B27" s="778"/>
      <c r="C27" s="243" t="s">
        <v>355</v>
      </c>
      <c r="D27" s="243" t="s">
        <v>365</v>
      </c>
      <c r="E27" s="243" t="s">
        <v>366</v>
      </c>
      <c r="F27" s="246" t="s">
        <v>376</v>
      </c>
      <c r="G27" s="471" t="s">
        <v>325</v>
      </c>
      <c r="H27" s="241" t="s">
        <v>359</v>
      </c>
      <c r="I27" s="238">
        <f>'PROPOSTA ORÇAMENTÁRIA'!B17</f>
        <v>87999000</v>
      </c>
    </row>
    <row r="28" spans="2:9" ht="17.25" customHeight="1">
      <c r="B28" s="778"/>
      <c r="C28" s="243" t="s">
        <v>355</v>
      </c>
      <c r="D28" s="243" t="s">
        <v>365</v>
      </c>
      <c r="E28" s="243" t="s">
        <v>366</v>
      </c>
      <c r="F28" s="246" t="s">
        <v>377</v>
      </c>
      <c r="G28" s="471" t="s">
        <v>326</v>
      </c>
      <c r="H28" s="241" t="s">
        <v>359</v>
      </c>
      <c r="I28" s="238">
        <f>'PROPOSTA ORÇAMENTÁRIA'!B18</f>
        <v>12845584</v>
      </c>
    </row>
    <row r="29" spans="2:9" ht="17.25" customHeight="1">
      <c r="B29" s="778"/>
      <c r="C29" s="243" t="s">
        <v>355</v>
      </c>
      <c r="D29" s="243" t="s">
        <v>365</v>
      </c>
      <c r="E29" s="243" t="s">
        <v>366</v>
      </c>
      <c r="F29" s="246" t="s">
        <v>378</v>
      </c>
      <c r="G29" s="471" t="s">
        <v>327</v>
      </c>
      <c r="H29" s="241" t="s">
        <v>359</v>
      </c>
      <c r="I29" s="238">
        <f>'PROPOSTA ORÇAMENTÁRIA'!B19</f>
        <v>28531480</v>
      </c>
    </row>
    <row r="30" spans="2:9" ht="17.25" customHeight="1">
      <c r="B30" s="778"/>
      <c r="C30" s="243" t="s">
        <v>355</v>
      </c>
      <c r="D30" s="243" t="s">
        <v>356</v>
      </c>
      <c r="E30" s="243" t="s">
        <v>7</v>
      </c>
      <c r="F30" s="246" t="s">
        <v>379</v>
      </c>
      <c r="G30" s="471" t="s">
        <v>328</v>
      </c>
      <c r="H30" s="241" t="s">
        <v>359</v>
      </c>
      <c r="I30" s="238">
        <f>'PROPOSTA ORÇAMENTÁRIA'!B20</f>
        <v>120000</v>
      </c>
    </row>
    <row r="31" spans="2:9" ht="17.25" customHeight="1">
      <c r="B31" s="778"/>
      <c r="C31" s="243" t="s">
        <v>355</v>
      </c>
      <c r="D31" s="243" t="s">
        <v>356</v>
      </c>
      <c r="E31" s="243" t="s">
        <v>7</v>
      </c>
      <c r="F31" s="246" t="s">
        <v>380</v>
      </c>
      <c r="G31" s="471" t="s">
        <v>329</v>
      </c>
      <c r="H31" s="241" t="s">
        <v>359</v>
      </c>
      <c r="I31" s="238">
        <f>'PROPOSTA ORÇAMENTÁRIA'!B21</f>
        <v>150000</v>
      </c>
    </row>
    <row r="32" spans="2:9" ht="17.25" customHeight="1">
      <c r="B32" s="778"/>
      <c r="C32" s="243" t="s">
        <v>355</v>
      </c>
      <c r="D32" s="243" t="s">
        <v>356</v>
      </c>
      <c r="E32" s="243" t="s">
        <v>7</v>
      </c>
      <c r="F32" s="246" t="s">
        <v>381</v>
      </c>
      <c r="G32" s="471" t="s">
        <v>330</v>
      </c>
      <c r="H32" s="241" t="s">
        <v>359</v>
      </c>
      <c r="I32" s="238">
        <f>'PROPOSTA ORÇAMENTÁRIA'!B22</f>
        <v>20000</v>
      </c>
    </row>
    <row r="33" spans="2:12" ht="31.5" customHeight="1">
      <c r="B33" s="779"/>
      <c r="C33" s="243" t="s">
        <v>355</v>
      </c>
      <c r="D33" s="243" t="s">
        <v>356</v>
      </c>
      <c r="E33" s="243" t="s">
        <v>7</v>
      </c>
      <c r="F33" s="502" t="s">
        <v>382</v>
      </c>
      <c r="G33" s="501" t="s">
        <v>331</v>
      </c>
      <c r="H33" s="503" t="s">
        <v>359</v>
      </c>
      <c r="I33" s="499">
        <f>'PROPOSTA ORÇAMENTÁRIA'!B23</f>
        <v>120000</v>
      </c>
    </row>
    <row r="34" spans="2:12" ht="21" customHeight="1">
      <c r="B34" s="786" t="s">
        <v>383</v>
      </c>
      <c r="C34" s="787"/>
      <c r="D34" s="787"/>
      <c r="E34" s="787"/>
      <c r="F34" s="787"/>
      <c r="G34" s="787"/>
      <c r="H34" s="788"/>
      <c r="I34" s="508">
        <f>SUM(I12:I33)</f>
        <v>951167405</v>
      </c>
    </row>
    <row r="35" spans="2:12" ht="17.25" customHeight="1">
      <c r="B35" s="777" t="s">
        <v>384</v>
      </c>
      <c r="C35" s="789" t="s">
        <v>355</v>
      </c>
      <c r="D35" s="790">
        <v>126</v>
      </c>
      <c r="E35" s="769" t="s">
        <v>7</v>
      </c>
      <c r="F35" s="773" t="s">
        <v>385</v>
      </c>
      <c r="G35" s="775" t="s">
        <v>313</v>
      </c>
      <c r="H35" s="241" t="s">
        <v>359</v>
      </c>
      <c r="I35" s="238">
        <f>'Elementação FERD 2027'!F252+'Elementação FERD 2027'!F253</f>
        <v>100000</v>
      </c>
    </row>
    <row r="36" spans="2:12" ht="17.25" customHeight="1">
      <c r="B36" s="778"/>
      <c r="C36" s="789"/>
      <c r="D36" s="791"/>
      <c r="E36" s="770"/>
      <c r="F36" s="774"/>
      <c r="G36" s="776"/>
      <c r="H36" s="241" t="s">
        <v>364</v>
      </c>
      <c r="I36" s="238">
        <f>'Elementação FERD 2027'!F258+'Elementação FERD 2027'!F259</f>
        <v>2733720</v>
      </c>
    </row>
    <row r="37" spans="2:12" ht="17.25" customHeight="1">
      <c r="B37" s="778"/>
      <c r="C37" s="789" t="s">
        <v>355</v>
      </c>
      <c r="D37" s="790" t="s">
        <v>356</v>
      </c>
      <c r="E37" s="769" t="s">
        <v>7</v>
      </c>
      <c r="F37" s="773" t="s">
        <v>6</v>
      </c>
      <c r="G37" s="775" t="s">
        <v>299</v>
      </c>
      <c r="H37" s="241" t="s">
        <v>359</v>
      </c>
      <c r="I37" s="238">
        <f>'Elementação FERD 2027'!F30+'Elementação FERD 2027'!F31</f>
        <v>17097120</v>
      </c>
    </row>
    <row r="38" spans="2:12" ht="17.25" customHeight="1">
      <c r="B38" s="778"/>
      <c r="C38" s="789"/>
      <c r="D38" s="791"/>
      <c r="E38" s="770"/>
      <c r="F38" s="774"/>
      <c r="G38" s="776"/>
      <c r="H38" s="241" t="s">
        <v>364</v>
      </c>
      <c r="I38" s="238">
        <f>'Elementação FERD 2027'!F34+'Elementação FERD 2027'!F35</f>
        <v>166210</v>
      </c>
      <c r="L38" s="524">
        <v>951167405</v>
      </c>
    </row>
    <row r="39" spans="2:12" ht="17.25" customHeight="1">
      <c r="B39" s="778"/>
      <c r="C39" s="243" t="s">
        <v>355</v>
      </c>
      <c r="D39" s="244" t="s">
        <v>356</v>
      </c>
      <c r="E39" s="243" t="s">
        <v>7</v>
      </c>
      <c r="F39" s="246" t="s">
        <v>386</v>
      </c>
      <c r="G39" s="245" t="s">
        <v>306</v>
      </c>
      <c r="H39" s="241" t="s">
        <v>364</v>
      </c>
      <c r="I39" s="238">
        <f>'Elementação FERD 2027'!F105</f>
        <v>55399.999999999993</v>
      </c>
      <c r="L39" s="525">
        <v>867965607</v>
      </c>
    </row>
    <row r="40" spans="2:12" ht="17.25" customHeight="1">
      <c r="B40" s="778"/>
      <c r="C40" s="789" t="s">
        <v>355</v>
      </c>
      <c r="D40" s="790" t="s">
        <v>356</v>
      </c>
      <c r="E40" s="769" t="s">
        <v>7</v>
      </c>
      <c r="F40" s="773" t="s">
        <v>7</v>
      </c>
      <c r="G40" s="775" t="s">
        <v>301</v>
      </c>
      <c r="H40" s="241" t="s">
        <v>359</v>
      </c>
      <c r="I40" s="238">
        <f>'Elementação FERD 2027'!F70</f>
        <v>505584</v>
      </c>
      <c r="L40" s="236">
        <f>L38/L39</f>
        <v>1.0958584042143964</v>
      </c>
    </row>
    <row r="41" spans="2:12" ht="17.25" customHeight="1">
      <c r="B41" s="778"/>
      <c r="C41" s="789"/>
      <c r="D41" s="791"/>
      <c r="E41" s="770"/>
      <c r="F41" s="774"/>
      <c r="G41" s="776"/>
      <c r="H41" s="241" t="s">
        <v>364</v>
      </c>
      <c r="I41" s="238">
        <f>'Elementação FERD 2027'!F72</f>
        <v>110806.99999999999</v>
      </c>
    </row>
    <row r="42" spans="2:12" ht="17.25" customHeight="1">
      <c r="B42" s="778"/>
      <c r="C42" s="243" t="s">
        <v>355</v>
      </c>
      <c r="D42" s="244" t="s">
        <v>356</v>
      </c>
      <c r="E42" s="243" t="s">
        <v>7</v>
      </c>
      <c r="F42" s="246" t="s">
        <v>387</v>
      </c>
      <c r="G42" s="245" t="s">
        <v>305</v>
      </c>
      <c r="H42" s="241" t="s">
        <v>359</v>
      </c>
      <c r="I42" s="238">
        <f>'Elementação FERD 2027'!F98</f>
        <v>10419195</v>
      </c>
    </row>
    <row r="43" spans="2:12" ht="17.25" customHeight="1">
      <c r="B43" s="778"/>
      <c r="C43" s="789" t="s">
        <v>355</v>
      </c>
      <c r="D43" s="790">
        <v>126</v>
      </c>
      <c r="E43" s="769" t="s">
        <v>7</v>
      </c>
      <c r="F43" s="773" t="s">
        <v>27</v>
      </c>
      <c r="G43" s="775" t="s">
        <v>312</v>
      </c>
      <c r="H43" s="241" t="s">
        <v>359</v>
      </c>
      <c r="I43" s="238">
        <f>'Elementação FERD 2027'!F231+'Elementação FERD 2027'!F232</f>
        <v>15094870</v>
      </c>
    </row>
    <row r="44" spans="2:12" ht="17.25" customHeight="1">
      <c r="B44" s="778"/>
      <c r="C44" s="789"/>
      <c r="D44" s="791"/>
      <c r="E44" s="770"/>
      <c r="F44" s="774"/>
      <c r="G44" s="776"/>
      <c r="H44" s="241" t="s">
        <v>364</v>
      </c>
      <c r="I44" s="238">
        <f>'Elementação FERD 2027'!F237+'Elementação FERD 2027'!F238</f>
        <v>0</v>
      </c>
    </row>
    <row r="45" spans="2:12" ht="17.25" customHeight="1">
      <c r="B45" s="778"/>
      <c r="C45" s="789" t="s">
        <v>355</v>
      </c>
      <c r="D45" s="790">
        <v>128</v>
      </c>
      <c r="E45" s="769" t="s">
        <v>7</v>
      </c>
      <c r="F45" s="773" t="s">
        <v>388</v>
      </c>
      <c r="G45" s="775" t="s">
        <v>314</v>
      </c>
      <c r="H45" s="241" t="s">
        <v>359</v>
      </c>
      <c r="I45" s="238">
        <f>'Elementação FERD 2027'!F287</f>
        <v>1621130</v>
      </c>
    </row>
    <row r="46" spans="2:12" ht="17.25" customHeight="1">
      <c r="B46" s="778"/>
      <c r="C46" s="789"/>
      <c r="D46" s="791"/>
      <c r="E46" s="770"/>
      <c r="F46" s="774"/>
      <c r="G46" s="776"/>
      <c r="H46" s="241" t="s">
        <v>364</v>
      </c>
      <c r="I46" s="238">
        <f>'Elementação FERD 2027'!F289</f>
        <v>90000</v>
      </c>
    </row>
    <row r="47" spans="2:12" ht="17.25" customHeight="1">
      <c r="B47" s="778"/>
      <c r="C47" s="243" t="s">
        <v>355</v>
      </c>
      <c r="D47" s="244" t="s">
        <v>356</v>
      </c>
      <c r="E47" s="243" t="s">
        <v>7</v>
      </c>
      <c r="F47" s="246" t="s">
        <v>389</v>
      </c>
      <c r="G47" s="245" t="s">
        <v>341</v>
      </c>
      <c r="H47" s="241" t="s">
        <v>364</v>
      </c>
      <c r="I47" s="238">
        <f>'Elementação FERD 2027'!F115</f>
        <v>55399.999999999993</v>
      </c>
    </row>
    <row r="48" spans="2:12" ht="17.25" customHeight="1">
      <c r="B48" s="778"/>
      <c r="C48" s="243" t="s">
        <v>355</v>
      </c>
      <c r="D48" s="244" t="s">
        <v>356</v>
      </c>
      <c r="E48" s="243" t="s">
        <v>7</v>
      </c>
      <c r="F48" s="246" t="s">
        <v>390</v>
      </c>
      <c r="G48" s="245" t="s">
        <v>308</v>
      </c>
      <c r="H48" s="241" t="s">
        <v>359</v>
      </c>
      <c r="I48" s="238">
        <f>'Elementação FERD 2027'!F123</f>
        <v>1000000</v>
      </c>
    </row>
    <row r="49" spans="2:9" ht="17.25" customHeight="1">
      <c r="B49" s="778"/>
      <c r="C49" s="243" t="s">
        <v>355</v>
      </c>
      <c r="D49" s="244">
        <v>122</v>
      </c>
      <c r="E49" s="243" t="s">
        <v>7</v>
      </c>
      <c r="F49" s="246" t="s">
        <v>391</v>
      </c>
      <c r="G49" s="245" t="s">
        <v>310</v>
      </c>
      <c r="H49" s="241" t="s">
        <v>364</v>
      </c>
      <c r="I49" s="238">
        <f>'Elementação FERD 2027'!F158</f>
        <v>1000000</v>
      </c>
    </row>
    <row r="50" spans="2:9" ht="17.25" customHeight="1">
      <c r="B50" s="778"/>
      <c r="C50" s="789" t="s">
        <v>355</v>
      </c>
      <c r="D50" s="790">
        <v>126</v>
      </c>
      <c r="E50" s="769" t="s">
        <v>7</v>
      </c>
      <c r="F50" s="773" t="s">
        <v>392</v>
      </c>
      <c r="G50" s="775" t="s">
        <v>393</v>
      </c>
      <c r="H50" s="241" t="s">
        <v>359</v>
      </c>
      <c r="I50" s="238">
        <f>'Elementação FERD 2027'!F273</f>
        <v>3500000</v>
      </c>
    </row>
    <row r="51" spans="2:9" ht="17.25" customHeight="1">
      <c r="B51" s="778"/>
      <c r="C51" s="789"/>
      <c r="D51" s="791"/>
      <c r="E51" s="770"/>
      <c r="F51" s="774"/>
      <c r="G51" s="776"/>
      <c r="H51" s="241" t="s">
        <v>364</v>
      </c>
      <c r="I51" s="238">
        <f>'Elementação FERD 2027'!F274</f>
        <v>0</v>
      </c>
    </row>
    <row r="52" spans="2:9" ht="17.25" customHeight="1">
      <c r="B52" s="778"/>
      <c r="C52" s="469" t="s">
        <v>355</v>
      </c>
      <c r="D52" s="468">
        <v>122</v>
      </c>
      <c r="E52" s="469" t="s">
        <v>366</v>
      </c>
      <c r="F52" s="470" t="s">
        <v>8</v>
      </c>
      <c r="G52" s="471" t="s">
        <v>303</v>
      </c>
      <c r="H52" s="241" t="s">
        <v>359</v>
      </c>
      <c r="I52" s="238">
        <f>'Elementação FERD 2027'!F191+'Elementação FERD 2027'!F192+'Elementação FERD 2027'!F196</f>
        <v>33244659.002</v>
      </c>
    </row>
    <row r="53" spans="2:9" ht="17.25" customHeight="1">
      <c r="B53" s="778"/>
      <c r="C53" s="243" t="s">
        <v>355</v>
      </c>
      <c r="D53" s="243" t="s">
        <v>365</v>
      </c>
      <c r="E53" s="243" t="s">
        <v>366</v>
      </c>
      <c r="F53" s="502" t="s">
        <v>394</v>
      </c>
      <c r="G53" s="245" t="s">
        <v>325</v>
      </c>
      <c r="H53" s="504" t="s">
        <v>359</v>
      </c>
      <c r="I53" s="494">
        <f>'Elementação FERD 2027'!F55+'Elementação FERD 2027'!F56</f>
        <v>18298492</v>
      </c>
    </row>
    <row r="54" spans="2:9" ht="17.25" customHeight="1">
      <c r="B54" s="778"/>
      <c r="C54" s="243" t="s">
        <v>355</v>
      </c>
      <c r="D54" s="243" t="s">
        <v>365</v>
      </c>
      <c r="E54" s="243" t="s">
        <v>366</v>
      </c>
      <c r="F54" s="502" t="s">
        <v>395</v>
      </c>
      <c r="G54" s="472" t="s">
        <v>326</v>
      </c>
      <c r="H54" s="241" t="s">
        <v>359</v>
      </c>
      <c r="I54" s="238">
        <f>'Elementação FERD 2027'!F87</f>
        <v>2802956</v>
      </c>
    </row>
    <row r="55" spans="2:9" ht="17.25" customHeight="1">
      <c r="B55" s="778"/>
      <c r="C55" s="243" t="s">
        <v>355</v>
      </c>
      <c r="D55" s="243" t="s">
        <v>365</v>
      </c>
      <c r="E55" s="243" t="s">
        <v>366</v>
      </c>
      <c r="F55" s="502" t="s">
        <v>396</v>
      </c>
      <c r="G55" s="245" t="s">
        <v>327</v>
      </c>
      <c r="H55" s="241" t="s">
        <v>359</v>
      </c>
      <c r="I55" s="238">
        <f>'Elementação FERD 2027'!F214+'Elementação FERD 2027'!F215</f>
        <v>35106446</v>
      </c>
    </row>
    <row r="56" spans="2:9" ht="17.25" customHeight="1">
      <c r="B56" s="778"/>
      <c r="C56" s="243" t="s">
        <v>355</v>
      </c>
      <c r="D56" s="243" t="s">
        <v>365</v>
      </c>
      <c r="E56" s="243" t="s">
        <v>366</v>
      </c>
      <c r="F56" s="502" t="s">
        <v>28</v>
      </c>
      <c r="G56" s="245" t="s">
        <v>343</v>
      </c>
      <c r="H56" s="241" t="s">
        <v>359</v>
      </c>
      <c r="I56" s="238">
        <f>'Elementação FERD 2027'!F134+'Elementação FERD 2027'!F135</f>
        <v>9299750</v>
      </c>
    </row>
    <row r="57" spans="2:9" ht="33" customHeight="1">
      <c r="B57" s="779"/>
      <c r="C57" s="243" t="s">
        <v>355</v>
      </c>
      <c r="D57" s="243" t="s">
        <v>365</v>
      </c>
      <c r="E57" s="243" t="s">
        <v>366</v>
      </c>
      <c r="F57" s="502" t="s">
        <v>37</v>
      </c>
      <c r="G57" s="501" t="s">
        <v>344</v>
      </c>
      <c r="H57" s="245" t="s">
        <v>359</v>
      </c>
      <c r="I57" s="509">
        <f>'Elementação FERD 2027'!F147</f>
        <v>19698261</v>
      </c>
    </row>
    <row r="58" spans="2:9" ht="21.75" customHeight="1">
      <c r="B58" s="792" t="s">
        <v>397</v>
      </c>
      <c r="C58" s="772"/>
      <c r="D58" s="772"/>
      <c r="E58" s="772"/>
      <c r="F58" s="772"/>
      <c r="G58" s="772"/>
      <c r="H58" s="795"/>
      <c r="I58" s="505">
        <f>SUM(I35:I57)</f>
        <v>172000000.002</v>
      </c>
    </row>
    <row r="59" spans="2:9" ht="24" customHeight="1">
      <c r="B59" s="792" t="s">
        <v>398</v>
      </c>
      <c r="C59" s="793"/>
      <c r="D59" s="793"/>
      <c r="E59" s="793"/>
      <c r="F59" s="793"/>
      <c r="G59" s="793"/>
      <c r="H59" s="794"/>
      <c r="I59" s="506">
        <f>I34+I58</f>
        <v>1123167405.0020001</v>
      </c>
    </row>
  </sheetData>
  <mergeCells count="64">
    <mergeCell ref="B35:B57"/>
    <mergeCell ref="B59:H59"/>
    <mergeCell ref="C50:C51"/>
    <mergeCell ref="D50:D51"/>
    <mergeCell ref="E50:E51"/>
    <mergeCell ref="F50:F51"/>
    <mergeCell ref="G50:G51"/>
    <mergeCell ref="B58:H58"/>
    <mergeCell ref="G40:G41"/>
    <mergeCell ref="C45:C46"/>
    <mergeCell ref="D45:D46"/>
    <mergeCell ref="E45:E46"/>
    <mergeCell ref="F45:F46"/>
    <mergeCell ref="G45:G46"/>
    <mergeCell ref="C43:C44"/>
    <mergeCell ref="D43:D44"/>
    <mergeCell ref="E43:E44"/>
    <mergeCell ref="F43:F44"/>
    <mergeCell ref="G43:G44"/>
    <mergeCell ref="B34:H34"/>
    <mergeCell ref="C35:C36"/>
    <mergeCell ref="D35:D36"/>
    <mergeCell ref="E35:E36"/>
    <mergeCell ref="F35:F36"/>
    <mergeCell ref="G35:G36"/>
    <mergeCell ref="C37:C38"/>
    <mergeCell ref="D37:D38"/>
    <mergeCell ref="E37:E38"/>
    <mergeCell ref="F37:F38"/>
    <mergeCell ref="G37:G38"/>
    <mergeCell ref="C40:C41"/>
    <mergeCell ref="D40:D41"/>
    <mergeCell ref="E40:E41"/>
    <mergeCell ref="F40:F41"/>
    <mergeCell ref="D14:D15"/>
    <mergeCell ref="E14:E15"/>
    <mergeCell ref="F14:F15"/>
    <mergeCell ref="C16:C17"/>
    <mergeCell ref="D16:D17"/>
    <mergeCell ref="E16:E17"/>
    <mergeCell ref="F16:F17"/>
    <mergeCell ref="G16:G17"/>
    <mergeCell ref="G21:G22"/>
    <mergeCell ref="C18:C20"/>
    <mergeCell ref="D18:D20"/>
    <mergeCell ref="E18:E20"/>
    <mergeCell ref="F18:F20"/>
    <mergeCell ref="G18:G20"/>
    <mergeCell ref="C14:C15"/>
    <mergeCell ref="B6:I6"/>
    <mergeCell ref="B7:I7"/>
    <mergeCell ref="B8:I8"/>
    <mergeCell ref="B10:I10"/>
    <mergeCell ref="C12:C13"/>
    <mergeCell ref="D12:D13"/>
    <mergeCell ref="E12:E13"/>
    <mergeCell ref="F12:F13"/>
    <mergeCell ref="G12:G13"/>
    <mergeCell ref="G14:G15"/>
    <mergeCell ref="B12:B33"/>
    <mergeCell ref="C21:C22"/>
    <mergeCell ref="D21:D22"/>
    <mergeCell ref="E21:E22"/>
    <mergeCell ref="F21:F2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F16"/>
  <sheetViews>
    <sheetView topLeftCell="B1" workbookViewId="0">
      <selection activeCell="K16" sqref="K16"/>
    </sheetView>
  </sheetViews>
  <sheetFormatPr defaultRowHeight="15"/>
  <cols>
    <col min="1" max="1" width="9.140625" style="236"/>
    <col min="2" max="2" width="10.7109375" style="236" bestFit="1" customWidth="1"/>
    <col min="3" max="3" width="39.5703125" style="236" customWidth="1"/>
    <col min="4" max="4" width="24.42578125" style="236" customWidth="1"/>
    <col min="5" max="5" width="23.42578125" style="236" customWidth="1"/>
    <col min="6" max="6" width="30" style="236" customWidth="1"/>
    <col min="7" max="16384" width="9.140625" style="236"/>
  </cols>
  <sheetData>
    <row r="2" spans="2:6" ht="29.25" customHeight="1"/>
    <row r="6" spans="2:6" ht="17.25" customHeight="1">
      <c r="B6" s="796" t="s">
        <v>38</v>
      </c>
      <c r="C6" s="796"/>
      <c r="D6" s="796"/>
      <c r="E6" s="796"/>
      <c r="F6" s="796"/>
    </row>
    <row r="7" spans="2:6" ht="17.25" customHeight="1">
      <c r="B7" s="796" t="s">
        <v>295</v>
      </c>
      <c r="C7" s="796"/>
      <c r="D7" s="796"/>
      <c r="E7" s="796"/>
      <c r="F7" s="796"/>
    </row>
    <row r="8" spans="2:6" ht="17.25" customHeight="1">
      <c r="B8" s="796" t="s">
        <v>43</v>
      </c>
      <c r="C8" s="796"/>
      <c r="D8" s="796"/>
      <c r="E8" s="796"/>
      <c r="F8" s="796"/>
    </row>
    <row r="11" spans="2:6" ht="23.25" customHeight="1">
      <c r="B11" s="786" t="s">
        <v>399</v>
      </c>
      <c r="C11" s="797"/>
      <c r="D11" s="797"/>
      <c r="E11" s="797"/>
      <c r="F11" s="798"/>
    </row>
    <row r="12" spans="2:6" ht="24.75" customHeight="1">
      <c r="B12" s="530" t="s">
        <v>400</v>
      </c>
      <c r="C12" s="530" t="s">
        <v>351</v>
      </c>
      <c r="D12" s="530" t="s">
        <v>401</v>
      </c>
      <c r="E12" s="530" t="s">
        <v>402</v>
      </c>
      <c r="F12" s="530" t="s">
        <v>215</v>
      </c>
    </row>
    <row r="13" spans="2:6" ht="17.25" customHeight="1">
      <c r="B13" s="241">
        <v>1</v>
      </c>
      <c r="C13" s="245" t="s">
        <v>403</v>
      </c>
      <c r="D13" s="499">
        <f>'ANEXO ÚNICO DESPESA POR FUNÇÃO'!I12+'ANEXO ÚNICO DESPESA POR FUNÇÃO'!I14+'ANEXO ÚNICO DESPESA POR FUNÇÃO'!I16+'ANEXO ÚNICO DESPESA POR FUNÇÃO'!I18+'ANEXO ÚNICO DESPESA POR FUNÇÃO'!I21+'ANEXO ÚNICO DESPESA POR FUNÇÃO'!I23</f>
        <v>803445348</v>
      </c>
      <c r="E13" s="532">
        <v>0</v>
      </c>
      <c r="F13" s="499">
        <f>SUM(D13:E13)</f>
        <v>803445348</v>
      </c>
    </row>
    <row r="14" spans="2:6" ht="17.25" customHeight="1">
      <c r="B14" s="241">
        <v>3</v>
      </c>
      <c r="C14" s="245" t="s">
        <v>404</v>
      </c>
      <c r="D14" s="499">
        <f>'ANEXO ÚNICO DESPESA POR FUNÇÃO'!I13+'ANEXO ÚNICO DESPESA POR FUNÇÃO'!I15+'ANEXO ÚNICO DESPESA POR FUNÇÃO'!I17+'ANEXO ÚNICO DESPESA POR FUNÇÃO'!I19+'ANEXO ÚNICO DESPESA POR FUNÇÃO'!I22+'ANEXO ÚNICO DESPESA POR FUNÇÃO'!I27+'ANEXO ÚNICO DESPESA POR FUNÇÃO'!I28+'ANEXO ÚNICO DESPESA POR FUNÇÃO'!I29+'ANEXO ÚNICO DESPESA POR FUNÇÃO'!I30+'ANEXO ÚNICO DESPESA POR FUNÇÃO'!I31+'ANEXO ÚNICO DESPESA POR FUNÇÃO'!I32+'ANEXO ÚNICO DESPESA POR FUNÇÃO'!I33</f>
        <v>147590911</v>
      </c>
      <c r="E14" s="499">
        <f>'Elementação FERD 2027'!E300</f>
        <v>167788463.002</v>
      </c>
      <c r="F14" s="499">
        <f t="shared" ref="F14:F15" si="0">SUM(D14:E14)</f>
        <v>315379374.00199997</v>
      </c>
    </row>
    <row r="15" spans="2:6" ht="17.25" customHeight="1">
      <c r="B15" s="241">
        <v>4</v>
      </c>
      <c r="C15" s="245" t="s">
        <v>405</v>
      </c>
      <c r="D15" s="499">
        <f>'ANEXO ÚNICO DESPESA POR FUNÇÃO'!I20+'ANEXO ÚNICO DESPESA POR FUNÇÃO'!I24+'ANEXO ÚNICO DESPESA POR FUNÇÃO'!I25+'ANEXO ÚNICO DESPESA POR FUNÇÃO'!I26</f>
        <v>131146</v>
      </c>
      <c r="E15" s="499">
        <f>'Elementação FERD 2027'!E303</f>
        <v>4211537</v>
      </c>
      <c r="F15" s="499">
        <f t="shared" si="0"/>
        <v>4342683</v>
      </c>
    </row>
    <row r="16" spans="2:6" ht="23.25" customHeight="1">
      <c r="B16" s="786" t="s">
        <v>215</v>
      </c>
      <c r="C16" s="798"/>
      <c r="D16" s="531">
        <f>SUM(D12:D15)</f>
        <v>951167405</v>
      </c>
      <c r="E16" s="531">
        <f>SUM(E12:E15)</f>
        <v>172000000.002</v>
      </c>
      <c r="F16" s="531">
        <f>SUM(F12:F15)</f>
        <v>1123167405.0019999</v>
      </c>
    </row>
  </sheetData>
  <mergeCells count="5">
    <mergeCell ref="B6:F6"/>
    <mergeCell ref="B7:F7"/>
    <mergeCell ref="B8:F8"/>
    <mergeCell ref="B11:F11"/>
    <mergeCell ref="B16:C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3"/>
  <sheetViews>
    <sheetView topLeftCell="A4" workbookViewId="0">
      <selection activeCell="G24" sqref="G24"/>
    </sheetView>
  </sheetViews>
  <sheetFormatPr defaultRowHeight="12.75"/>
  <cols>
    <col min="1" max="1" width="50" bestFit="1" customWidth="1"/>
    <col min="2" max="2" width="20.5703125" bestFit="1" customWidth="1"/>
    <col min="3" max="3" width="23" customWidth="1"/>
    <col min="4" max="4" width="14.5703125" customWidth="1"/>
    <col min="5" max="5" width="17.28515625" customWidth="1"/>
    <col min="6" max="6" width="13.7109375" customWidth="1"/>
    <col min="7" max="7" width="17.42578125" bestFit="1" customWidth="1"/>
  </cols>
  <sheetData>
    <row r="1" spans="1:7" ht="15">
      <c r="A1" s="288"/>
      <c r="B1" s="289"/>
      <c r="C1" s="288"/>
      <c r="D1" s="290"/>
      <c r="E1" s="288"/>
      <c r="F1" s="288"/>
      <c r="G1" s="288"/>
    </row>
    <row r="2" spans="1:7" ht="15.75">
      <c r="A2" s="799" t="s">
        <v>406</v>
      </c>
      <c r="B2" s="799"/>
      <c r="C2" s="289"/>
      <c r="D2" s="289"/>
      <c r="E2" s="288"/>
      <c r="F2" s="288"/>
      <c r="G2" s="288"/>
    </row>
    <row r="3" spans="1:7" ht="15.75">
      <c r="A3" s="800" t="s">
        <v>407</v>
      </c>
      <c r="B3" s="800"/>
      <c r="C3" s="289"/>
      <c r="D3" s="289"/>
      <c r="E3" s="288"/>
      <c r="F3" s="288"/>
      <c r="G3" s="288"/>
    </row>
    <row r="4" spans="1:7" ht="30" customHeight="1">
      <c r="A4" s="295" t="s">
        <v>408</v>
      </c>
      <c r="B4" s="287" t="s">
        <v>409</v>
      </c>
      <c r="C4" s="289"/>
      <c r="D4" s="289"/>
      <c r="E4" s="288"/>
      <c r="F4" s="288"/>
      <c r="G4" s="288"/>
    </row>
    <row r="5" spans="1:7" ht="17.25" customHeight="1">
      <c r="A5" s="495" t="s">
        <v>410</v>
      </c>
      <c r="B5" s="496">
        <v>2321500</v>
      </c>
      <c r="C5" s="289"/>
      <c r="D5" s="289"/>
      <c r="E5" s="288"/>
      <c r="F5" s="288"/>
      <c r="G5" s="288"/>
    </row>
    <row r="6" spans="1:7" ht="17.25" customHeight="1">
      <c r="A6" s="495" t="s">
        <v>411</v>
      </c>
      <c r="B6" s="496">
        <v>8357400</v>
      </c>
      <c r="C6" s="289"/>
      <c r="D6" s="289"/>
      <c r="E6" s="288"/>
      <c r="F6" s="288"/>
      <c r="G6" s="288"/>
    </row>
    <row r="7" spans="1:7" ht="15.75">
      <c r="A7" s="288" t="s">
        <v>412</v>
      </c>
      <c r="B7" s="289">
        <v>102400</v>
      </c>
      <c r="C7" s="237"/>
      <c r="D7" s="289"/>
      <c r="E7" s="288"/>
      <c r="F7" s="288"/>
      <c r="G7" s="288"/>
    </row>
    <row r="8" spans="1:7" ht="15">
      <c r="A8" s="288" t="s">
        <v>413</v>
      </c>
      <c r="B8" s="289">
        <v>2360200</v>
      </c>
      <c r="C8" s="289"/>
      <c r="D8" s="289"/>
      <c r="E8" s="288"/>
      <c r="F8" s="288"/>
      <c r="G8" s="288"/>
    </row>
    <row r="9" spans="1:7" ht="15.75">
      <c r="A9" s="288" t="s">
        <v>414</v>
      </c>
      <c r="B9" s="289">
        <v>30000000</v>
      </c>
      <c r="C9" s="801" t="s">
        <v>415</v>
      </c>
      <c r="D9" s="801"/>
      <c r="E9" s="288"/>
      <c r="F9" s="288"/>
      <c r="G9" s="288"/>
    </row>
    <row r="10" spans="1:7" ht="15.75">
      <c r="A10" s="288" t="s">
        <v>416</v>
      </c>
      <c r="B10" s="289">
        <v>2000000</v>
      </c>
      <c r="C10" s="237">
        <v>2027</v>
      </c>
      <c r="D10" s="237">
        <v>2026</v>
      </c>
      <c r="E10" s="288"/>
      <c r="F10" s="288"/>
      <c r="G10" s="288"/>
    </row>
    <row r="11" spans="1:7" ht="15.75">
      <c r="A11" s="291" t="s">
        <v>9</v>
      </c>
      <c r="B11" s="292">
        <f>SUM(B5:B10)</f>
        <v>45141500</v>
      </c>
      <c r="C11" s="290">
        <f>(B11*C19)/B19</f>
        <v>0.26245058139534883</v>
      </c>
      <c r="D11" s="290"/>
      <c r="E11" s="288"/>
      <c r="F11" s="288"/>
      <c r="G11" s="288"/>
    </row>
    <row r="12" spans="1:7" ht="15.75">
      <c r="A12" s="800" t="s">
        <v>417</v>
      </c>
      <c r="B12" s="800"/>
      <c r="C12" s="289"/>
      <c r="D12" s="288"/>
      <c r="E12" s="288"/>
      <c r="F12" s="288"/>
      <c r="G12" s="288"/>
    </row>
    <row r="13" spans="1:7" ht="15">
      <c r="A13" s="288" t="s">
        <v>418</v>
      </c>
      <c r="B13" s="289">
        <v>104565300</v>
      </c>
      <c r="C13" s="289"/>
      <c r="D13" s="288"/>
      <c r="E13" s="288"/>
      <c r="F13" s="288"/>
      <c r="G13" s="288"/>
    </row>
    <row r="14" spans="1:7" ht="15">
      <c r="A14" s="288" t="s">
        <v>419</v>
      </c>
      <c r="B14" s="289">
        <v>1783300</v>
      </c>
      <c r="C14" s="289"/>
      <c r="D14" s="288"/>
      <c r="E14" s="288"/>
      <c r="F14" s="288"/>
      <c r="G14" s="288"/>
    </row>
    <row r="15" spans="1:7" ht="15">
      <c r="A15" s="288" t="s">
        <v>420</v>
      </c>
      <c r="B15" s="289">
        <v>780000</v>
      </c>
      <c r="C15" s="289"/>
      <c r="D15" s="288"/>
      <c r="E15" s="288"/>
      <c r="F15" s="288"/>
      <c r="G15" s="288"/>
    </row>
    <row r="16" spans="1:7" ht="15">
      <c r="A16" s="288" t="s">
        <v>411</v>
      </c>
      <c r="B16" s="289">
        <v>18611450</v>
      </c>
      <c r="C16" s="289"/>
      <c r="D16" s="288"/>
      <c r="E16" s="288"/>
      <c r="F16" s="288"/>
      <c r="G16" s="288"/>
    </row>
    <row r="17" spans="1:7" ht="15">
      <c r="A17" s="288" t="s">
        <v>413</v>
      </c>
      <c r="B17" s="289">
        <v>1118450</v>
      </c>
      <c r="C17" s="289"/>
      <c r="D17" s="288"/>
      <c r="E17" s="288"/>
      <c r="F17" s="288"/>
      <c r="G17" s="288"/>
    </row>
    <row r="18" spans="1:7" ht="15.75">
      <c r="A18" s="291" t="s">
        <v>9</v>
      </c>
      <c r="B18" s="292">
        <f>SUM(B13:B17)</f>
        <v>126858500</v>
      </c>
      <c r="C18" s="290">
        <f>(B18*C19)/B19</f>
        <v>0.73754941860465117</v>
      </c>
      <c r="D18" s="290"/>
      <c r="E18" s="288"/>
      <c r="F18" s="288"/>
      <c r="G18" s="288"/>
    </row>
    <row r="19" spans="1:7" ht="15.75">
      <c r="A19" s="293" t="s">
        <v>340</v>
      </c>
      <c r="B19" s="294">
        <f>B11+B18</f>
        <v>172000000</v>
      </c>
      <c r="C19" s="290">
        <v>1</v>
      </c>
      <c r="D19" s="290">
        <v>1</v>
      </c>
      <c r="E19" s="288"/>
      <c r="F19" s="288"/>
      <c r="G19" s="288"/>
    </row>
    <row r="20" spans="1:7" ht="15">
      <c r="A20" s="288"/>
      <c r="B20" s="289"/>
      <c r="C20" s="289"/>
      <c r="D20" s="288"/>
      <c r="E20" s="288"/>
      <c r="F20" s="288"/>
      <c r="G20" s="288"/>
    </row>
    <row r="21" spans="1:7" ht="15">
      <c r="A21" s="288"/>
      <c r="B21" s="289"/>
      <c r="C21" s="288"/>
      <c r="D21" s="288"/>
      <c r="E21" s="288"/>
      <c r="F21" s="288"/>
      <c r="G21" s="288"/>
    </row>
    <row r="22" spans="1:7" ht="15">
      <c r="A22" s="288"/>
      <c r="B22" s="289"/>
      <c r="C22" s="288"/>
      <c r="D22" s="288"/>
      <c r="E22" s="288"/>
      <c r="F22" s="288"/>
      <c r="G22" s="288"/>
    </row>
    <row r="23" spans="1:7" ht="15">
      <c r="A23" s="288"/>
      <c r="B23" s="289"/>
      <c r="C23" s="288"/>
      <c r="D23" s="288"/>
      <c r="E23" s="288"/>
      <c r="F23" s="288"/>
      <c r="G23" s="288"/>
    </row>
  </sheetData>
  <mergeCells count="4">
    <mergeCell ref="A2:B2"/>
    <mergeCell ref="A3:B3"/>
    <mergeCell ref="C9:D9"/>
    <mergeCell ref="A12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6"/>
  <sheetViews>
    <sheetView workbookViewId="0">
      <selection activeCell="H14" sqref="H14"/>
    </sheetView>
  </sheetViews>
  <sheetFormatPr defaultRowHeight="12.75"/>
  <cols>
    <col min="2" max="2" width="13.7109375" customWidth="1"/>
    <col min="3" max="3" width="92.42578125" bestFit="1" customWidth="1"/>
    <col min="4" max="4" width="21.7109375" customWidth="1"/>
    <col min="5" max="5" width="16.85546875" customWidth="1"/>
    <col min="6" max="6" width="19.5703125" customWidth="1"/>
  </cols>
  <sheetData>
    <row r="1" spans="1:6" ht="15">
      <c r="A1" s="236"/>
      <c r="B1" s="236"/>
      <c r="C1" s="236"/>
      <c r="D1" s="236"/>
      <c r="E1" s="236"/>
      <c r="F1" s="236"/>
    </row>
    <row r="2" spans="1:6" ht="18.75" customHeight="1">
      <c r="A2" s="236"/>
      <c r="B2" s="236"/>
      <c r="C2" s="236"/>
      <c r="D2" s="236"/>
      <c r="E2" s="236"/>
      <c r="F2" s="236"/>
    </row>
    <row r="3" spans="1:6" ht="15">
      <c r="A3" s="236"/>
      <c r="B3" s="236"/>
      <c r="C3" s="236"/>
      <c r="D3" s="236"/>
      <c r="E3" s="236"/>
      <c r="F3" s="236"/>
    </row>
    <row r="4" spans="1:6" ht="15">
      <c r="A4" s="236"/>
      <c r="B4" s="236"/>
      <c r="C4" s="236"/>
      <c r="D4" s="236"/>
      <c r="E4" s="236"/>
      <c r="F4" s="236"/>
    </row>
    <row r="5" spans="1:6" ht="15">
      <c r="A5" s="236"/>
      <c r="B5" s="236"/>
      <c r="C5" s="236"/>
      <c r="D5" s="236"/>
      <c r="E5" s="236"/>
      <c r="F5" s="236"/>
    </row>
    <row r="6" spans="1:6" ht="17.25" customHeight="1">
      <c r="A6" s="236"/>
      <c r="B6" s="796" t="s">
        <v>38</v>
      </c>
      <c r="C6" s="796"/>
      <c r="D6" s="796"/>
      <c r="E6" s="796"/>
      <c r="F6" s="796"/>
    </row>
    <row r="7" spans="1:6" ht="17.25" customHeight="1">
      <c r="A7" s="236"/>
      <c r="B7" s="796" t="s">
        <v>295</v>
      </c>
      <c r="C7" s="796"/>
      <c r="D7" s="796"/>
      <c r="E7" s="796"/>
      <c r="F7" s="796"/>
    </row>
    <row r="8" spans="1:6" ht="17.25" customHeight="1">
      <c r="A8" s="236"/>
      <c r="B8" s="796" t="s">
        <v>43</v>
      </c>
      <c r="C8" s="796"/>
      <c r="D8" s="796"/>
      <c r="E8" s="796"/>
      <c r="F8" s="796"/>
    </row>
    <row r="9" spans="1:6" ht="17.25" customHeight="1">
      <c r="A9" s="236"/>
      <c r="B9" s="236"/>
      <c r="C9" s="236"/>
      <c r="D9" s="236"/>
      <c r="E9" s="236"/>
      <c r="F9" s="236"/>
    </row>
    <row r="10" spans="1:6" ht="17.25" customHeight="1">
      <c r="A10" s="236"/>
      <c r="B10" s="792" t="s">
        <v>421</v>
      </c>
      <c r="C10" s="794"/>
      <c r="D10" s="792" t="s">
        <v>422</v>
      </c>
      <c r="E10" s="793"/>
      <c r="F10" s="794"/>
    </row>
    <row r="11" spans="1:6" ht="17.25" customHeight="1">
      <c r="A11" s="236"/>
      <c r="B11" s="236"/>
      <c r="C11" s="236"/>
      <c r="D11" s="236"/>
      <c r="E11" s="236"/>
      <c r="F11" s="236"/>
    </row>
    <row r="12" spans="1:6" ht="36" customHeight="1">
      <c r="A12" s="236"/>
      <c r="B12" s="242" t="s">
        <v>423</v>
      </c>
      <c r="C12" s="242" t="s">
        <v>351</v>
      </c>
      <c r="D12" s="242" t="s">
        <v>402</v>
      </c>
      <c r="E12" s="242" t="s">
        <v>401</v>
      </c>
      <c r="F12" s="242" t="s">
        <v>215</v>
      </c>
    </row>
    <row r="13" spans="1:6" ht="17.25" customHeight="1">
      <c r="A13" s="236"/>
      <c r="B13" s="241">
        <v>1500</v>
      </c>
      <c r="C13" s="245" t="s">
        <v>424</v>
      </c>
      <c r="D13" s="238"/>
      <c r="E13" s="247">
        <v>0</v>
      </c>
      <c r="F13" s="238">
        <f>E13</f>
        <v>0</v>
      </c>
    </row>
    <row r="14" spans="1:6" ht="17.25" customHeight="1">
      <c r="A14" s="236"/>
      <c r="B14" s="241">
        <v>1760</v>
      </c>
      <c r="C14" s="245" t="s">
        <v>425</v>
      </c>
      <c r="D14" s="238">
        <f>'PROPOSTA DA RECEITA'!B13</f>
        <v>104565300</v>
      </c>
      <c r="E14" s="297"/>
      <c r="F14" s="238">
        <f>D14</f>
        <v>104565300</v>
      </c>
    </row>
    <row r="15" spans="1:6" ht="17.25" customHeight="1">
      <c r="A15" s="236"/>
      <c r="B15" s="241">
        <v>1760</v>
      </c>
      <c r="C15" s="245" t="s">
        <v>426</v>
      </c>
      <c r="D15" s="238">
        <f>'PROPOSTA DA RECEITA'!B14</f>
        <v>1783300</v>
      </c>
      <c r="E15" s="297"/>
      <c r="F15" s="238">
        <f t="shared" ref="F15:F21" si="0">D15</f>
        <v>1783300</v>
      </c>
    </row>
    <row r="16" spans="1:6" ht="17.25" customHeight="1">
      <c r="A16" s="236"/>
      <c r="B16" s="241">
        <v>1760</v>
      </c>
      <c r="C16" s="245" t="s">
        <v>427</v>
      </c>
      <c r="D16" s="238">
        <f>'PROPOSTA DA RECEITA'!B15</f>
        <v>780000</v>
      </c>
      <c r="E16" s="297"/>
      <c r="F16" s="238">
        <f t="shared" si="0"/>
        <v>780000</v>
      </c>
    </row>
    <row r="17" spans="1:6" ht="17.25" customHeight="1">
      <c r="A17" s="236"/>
      <c r="B17" s="241">
        <v>1759</v>
      </c>
      <c r="C17" s="245" t="s">
        <v>428</v>
      </c>
      <c r="D17" s="238">
        <f>'PROPOSTA DA RECEITA'!B7</f>
        <v>102400</v>
      </c>
      <c r="E17" s="297"/>
      <c r="F17" s="238">
        <f t="shared" si="0"/>
        <v>102400</v>
      </c>
    </row>
    <row r="18" spans="1:6" ht="17.25" customHeight="1">
      <c r="A18" s="236"/>
      <c r="B18" s="241">
        <v>1759</v>
      </c>
      <c r="C18" s="245" t="s">
        <v>429</v>
      </c>
      <c r="D18" s="238">
        <f>'PROPOSTA DA RECEITA'!B9</f>
        <v>30000000</v>
      </c>
      <c r="E18" s="297"/>
      <c r="F18" s="238">
        <f t="shared" si="0"/>
        <v>30000000</v>
      </c>
    </row>
    <row r="19" spans="1:6" ht="17.25" customHeight="1">
      <c r="A19" s="236"/>
      <c r="B19" s="241">
        <v>1759</v>
      </c>
      <c r="C19" s="245" t="s">
        <v>430</v>
      </c>
      <c r="D19" s="238">
        <f>'PROPOSTA DA RECEITA'!B10</f>
        <v>2000000</v>
      </c>
      <c r="E19" s="297"/>
      <c r="F19" s="238">
        <f t="shared" si="0"/>
        <v>2000000</v>
      </c>
    </row>
    <row r="20" spans="1:6" ht="17.25" customHeight="1">
      <c r="A20" s="236"/>
      <c r="B20" s="241">
        <v>1760</v>
      </c>
      <c r="C20" s="245" t="s">
        <v>431</v>
      </c>
      <c r="D20" s="238">
        <f>'PROPOSTA DA RECEITA'!B16</f>
        <v>18611450</v>
      </c>
      <c r="E20" s="297"/>
      <c r="F20" s="238">
        <f t="shared" si="0"/>
        <v>18611450</v>
      </c>
    </row>
    <row r="21" spans="1:6" ht="17.25" customHeight="1">
      <c r="A21" s="236"/>
      <c r="B21" s="241">
        <v>1759</v>
      </c>
      <c r="C21" s="245" t="s">
        <v>424</v>
      </c>
      <c r="D21" s="238">
        <f>'PROPOSTA DA RECEITA'!B8</f>
        <v>2360200</v>
      </c>
      <c r="E21" s="298"/>
      <c r="F21" s="238">
        <f t="shared" si="0"/>
        <v>2360200</v>
      </c>
    </row>
    <row r="22" spans="1:6" ht="17.25" customHeight="1">
      <c r="A22" s="236"/>
      <c r="B22" s="241">
        <v>1760</v>
      </c>
      <c r="C22" s="245" t="s">
        <v>424</v>
      </c>
      <c r="D22" s="299">
        <f>'PROPOSTA DA RECEITA'!B17</f>
        <v>1118450</v>
      </c>
      <c r="E22" s="298"/>
      <c r="F22" s="238">
        <f>D22</f>
        <v>1118450</v>
      </c>
    </row>
    <row r="23" spans="1:6" ht="17.25" customHeight="1">
      <c r="A23" s="236"/>
      <c r="B23" s="498">
        <v>1759</v>
      </c>
      <c r="C23" s="529" t="s">
        <v>410</v>
      </c>
      <c r="D23" s="299">
        <f>'PROPOSTA DA RECEITA'!B5</f>
        <v>2321500</v>
      </c>
      <c r="E23" s="497"/>
      <c r="F23" s="500">
        <f>D23</f>
        <v>2321500</v>
      </c>
    </row>
    <row r="24" spans="1:6" ht="17.25" customHeight="1">
      <c r="A24" s="236"/>
      <c r="B24" s="498">
        <v>1759</v>
      </c>
      <c r="C24" s="529" t="s">
        <v>431</v>
      </c>
      <c r="D24" s="299">
        <f>'PROPOSTA DA RECEITA'!B6</f>
        <v>8357400</v>
      </c>
      <c r="E24" s="497"/>
      <c r="F24" s="500">
        <f>D24</f>
        <v>8357400</v>
      </c>
    </row>
    <row r="25" spans="1:6" ht="17.25" customHeight="1">
      <c r="A25" s="236"/>
      <c r="B25" s="236"/>
      <c r="C25" s="236"/>
      <c r="D25" s="296">
        <f>SUM(D13:D24)</f>
        <v>172000000</v>
      </c>
      <c r="E25" s="296">
        <f t="shared" ref="E25" si="1">SUM(E13:E22)</f>
        <v>0</v>
      </c>
      <c r="F25" s="239">
        <f>SUM(F13:F24)</f>
        <v>172000000</v>
      </c>
    </row>
    <row r="26" spans="1:6" ht="15">
      <c r="A26" s="236"/>
      <c r="B26" s="236"/>
      <c r="C26" s="236"/>
      <c r="D26" s="236"/>
      <c r="E26" s="236"/>
      <c r="F26" s="236"/>
    </row>
  </sheetData>
  <mergeCells count="5">
    <mergeCell ref="B6:F6"/>
    <mergeCell ref="B7:F7"/>
    <mergeCell ref="B8:F8"/>
    <mergeCell ref="B10:C10"/>
    <mergeCell ref="D10:F10"/>
  </mergeCells>
  <pageMargins left="0.25" right="0.25" top="0.75" bottom="0.75" header="0.3" footer="0.3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71"/>
  <sheetViews>
    <sheetView tabSelected="1" zoomScale="120" zoomScaleNormal="120" workbookViewId="0">
      <selection activeCell="Q16" sqref="Q16"/>
    </sheetView>
  </sheetViews>
  <sheetFormatPr defaultColWidth="9.140625" defaultRowHeight="12.75"/>
  <cols>
    <col min="1" max="1" width="3.42578125" customWidth="1"/>
    <col min="2" max="2" width="6.28515625" customWidth="1"/>
    <col min="3" max="3" width="14.85546875" customWidth="1"/>
    <col min="4" max="4" width="9.5703125" customWidth="1"/>
    <col min="5" max="5" width="10.28515625" customWidth="1"/>
    <col min="6" max="6" width="10.42578125" customWidth="1"/>
    <col min="7" max="7" width="29.5703125" customWidth="1"/>
    <col min="8" max="8" width="6.28515625" customWidth="1"/>
    <col min="9" max="9" width="7.5703125" style="139" customWidth="1"/>
    <col min="10" max="10" width="17.140625" style="139" customWidth="1"/>
    <col min="11" max="11" width="4.42578125" style="139" customWidth="1"/>
    <col min="12" max="12" width="15.28515625" customWidth="1"/>
    <col min="13" max="13" width="14.42578125" customWidth="1"/>
    <col min="14" max="14" width="16.28515625" customWidth="1"/>
    <col min="15" max="15" width="16.7109375" customWidth="1"/>
    <col min="16" max="16" width="7.28515625" style="140" customWidth="1"/>
    <col min="17" max="17" width="14.5703125" customWidth="1"/>
    <col min="18" max="18" width="16.7109375" bestFit="1" customWidth="1"/>
    <col min="247" max="248" width="12.42578125" customWidth="1"/>
    <col min="249" max="249" width="11.5703125" customWidth="1"/>
    <col min="250" max="250" width="14.140625" customWidth="1"/>
    <col min="251" max="251" width="23.7109375" customWidth="1"/>
    <col min="252" max="252" width="22.140625" customWidth="1"/>
    <col min="253" max="253" width="9.28515625" customWidth="1"/>
    <col min="254" max="254" width="6.5703125" customWidth="1"/>
    <col min="255" max="255" width="15.5703125" customWidth="1"/>
    <col min="256" max="256" width="7.5703125" customWidth="1"/>
    <col min="257" max="257" width="10.5703125" customWidth="1"/>
    <col min="258" max="258" width="12" customWidth="1"/>
    <col min="259" max="259" width="13.140625" customWidth="1"/>
    <col min="260" max="260" width="12.85546875" customWidth="1"/>
    <col min="261" max="261" width="12.42578125" customWidth="1"/>
    <col min="262" max="262" width="12.85546875" customWidth="1"/>
    <col min="263" max="263" width="11.140625" customWidth="1"/>
    <col min="264" max="265" width="9.85546875" customWidth="1"/>
    <col min="266" max="266" width="10.7109375" customWidth="1"/>
    <col min="267" max="267" width="10.28515625" customWidth="1"/>
    <col min="268" max="268" width="8.7109375" customWidth="1"/>
    <col min="269" max="269" width="11.28515625" customWidth="1"/>
    <col min="270" max="270" width="9" customWidth="1"/>
    <col min="271" max="271" width="9.85546875" customWidth="1"/>
    <col min="272" max="272" width="6.140625" customWidth="1"/>
    <col min="503" max="504" width="12.42578125" customWidth="1"/>
    <col min="505" max="505" width="11.5703125" customWidth="1"/>
    <col min="506" max="506" width="14.140625" customWidth="1"/>
    <col min="507" max="507" width="23.7109375" customWidth="1"/>
    <col min="508" max="508" width="22.140625" customWidth="1"/>
    <col min="509" max="509" width="9.28515625" customWidth="1"/>
    <col min="510" max="510" width="6.5703125" customWidth="1"/>
    <col min="511" max="511" width="15.5703125" customWidth="1"/>
    <col min="512" max="512" width="7.5703125" customWidth="1"/>
    <col min="513" max="513" width="10.5703125" customWidth="1"/>
    <col min="514" max="514" width="12" customWidth="1"/>
    <col min="515" max="515" width="13.140625" customWidth="1"/>
    <col min="516" max="516" width="12.85546875" customWidth="1"/>
    <col min="517" max="517" width="12.42578125" customWidth="1"/>
    <col min="518" max="518" width="12.85546875" customWidth="1"/>
    <col min="519" max="519" width="11.140625" customWidth="1"/>
    <col min="520" max="521" width="9.85546875" customWidth="1"/>
    <col min="522" max="522" width="10.7109375" customWidth="1"/>
    <col min="523" max="523" width="10.28515625" customWidth="1"/>
    <col min="524" max="524" width="8.7109375" customWidth="1"/>
    <col min="525" max="525" width="11.28515625" customWidth="1"/>
    <col min="526" max="526" width="9" customWidth="1"/>
    <col min="527" max="527" width="9.85546875" customWidth="1"/>
    <col min="528" max="528" width="6.140625" customWidth="1"/>
    <col min="759" max="760" width="12.42578125" customWidth="1"/>
    <col min="761" max="761" width="11.5703125" customWidth="1"/>
    <col min="762" max="762" width="14.140625" customWidth="1"/>
    <col min="763" max="763" width="23.7109375" customWidth="1"/>
    <col min="764" max="764" width="22.140625" customWidth="1"/>
    <col min="765" max="765" width="9.28515625" customWidth="1"/>
    <col min="766" max="766" width="6.5703125" customWidth="1"/>
    <col min="767" max="767" width="15.5703125" customWidth="1"/>
    <col min="768" max="768" width="7.5703125" customWidth="1"/>
    <col min="769" max="769" width="10.5703125" customWidth="1"/>
    <col min="770" max="770" width="12" customWidth="1"/>
    <col min="771" max="771" width="13.140625" customWidth="1"/>
    <col min="772" max="772" width="12.85546875" customWidth="1"/>
    <col min="773" max="773" width="12.42578125" customWidth="1"/>
    <col min="774" max="774" width="12.85546875" customWidth="1"/>
    <col min="775" max="775" width="11.140625" customWidth="1"/>
    <col min="776" max="777" width="9.85546875" customWidth="1"/>
    <col min="778" max="778" width="10.7109375" customWidth="1"/>
    <col min="779" max="779" width="10.28515625" customWidth="1"/>
    <col min="780" max="780" width="8.7109375" customWidth="1"/>
    <col min="781" max="781" width="11.28515625" customWidth="1"/>
    <col min="782" max="782" width="9" customWidth="1"/>
    <col min="783" max="783" width="9.85546875" customWidth="1"/>
    <col min="784" max="784" width="6.140625" customWidth="1"/>
    <col min="1015" max="1016" width="12.42578125" customWidth="1"/>
    <col min="1017" max="1017" width="11.5703125" customWidth="1"/>
    <col min="1018" max="1018" width="14.140625" customWidth="1"/>
    <col min="1019" max="1019" width="23.7109375" customWidth="1"/>
    <col min="1020" max="1020" width="22.140625" customWidth="1"/>
    <col min="1021" max="1021" width="9.28515625" customWidth="1"/>
    <col min="1022" max="1022" width="6.5703125" customWidth="1"/>
    <col min="1023" max="1023" width="15.5703125" customWidth="1"/>
    <col min="1024" max="1024" width="7.5703125" customWidth="1"/>
  </cols>
  <sheetData>
    <row r="1" spans="1:16" s="132" customFormat="1" ht="16.7" customHeight="1">
      <c r="B1" s="625" t="s">
        <v>432</v>
      </c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</row>
    <row r="2" spans="1:16" s="132" customFormat="1" ht="16.7" customHeight="1">
      <c r="B2" s="626" t="s">
        <v>433</v>
      </c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  <c r="N2" s="626"/>
      <c r="O2" s="626"/>
    </row>
    <row r="3" spans="1:16" ht="16.7" customHeight="1">
      <c r="A3" s="132"/>
      <c r="B3" s="627" t="s">
        <v>434</v>
      </c>
      <c r="C3" s="627"/>
      <c r="D3" s="627"/>
      <c r="E3" s="627"/>
      <c r="F3" s="627"/>
      <c r="G3" s="627"/>
      <c r="H3" s="627"/>
      <c r="I3" s="627"/>
      <c r="J3" s="627"/>
      <c r="K3" s="627"/>
      <c r="L3" s="627"/>
      <c r="M3" s="627"/>
      <c r="N3" s="627"/>
      <c r="O3" s="627"/>
    </row>
    <row r="4" spans="1:16" ht="24.75" customHeight="1">
      <c r="A4" s="132"/>
      <c r="B4" s="628" t="s">
        <v>435</v>
      </c>
      <c r="C4" s="629"/>
      <c r="D4" s="629"/>
      <c r="E4" s="629"/>
      <c r="F4" s="629"/>
      <c r="G4" s="629"/>
      <c r="H4" s="629"/>
      <c r="I4" s="629"/>
      <c r="J4" s="629"/>
      <c r="K4" s="629"/>
      <c r="L4" s="629"/>
      <c r="M4" s="629"/>
      <c r="N4" s="629"/>
      <c r="O4" s="629"/>
    </row>
    <row r="5" spans="1:16" ht="21" customHeight="1">
      <c r="B5" s="630" t="s">
        <v>436</v>
      </c>
      <c r="C5" s="630"/>
      <c r="D5" s="630"/>
      <c r="E5" s="630"/>
      <c r="F5" s="630"/>
      <c r="G5" s="630"/>
      <c r="H5" s="630"/>
      <c r="I5" s="630"/>
      <c r="J5" s="630"/>
      <c r="K5" s="630"/>
      <c r="L5" s="630"/>
      <c r="M5" s="630"/>
      <c r="N5" s="630"/>
      <c r="O5" s="630"/>
    </row>
    <row r="6" spans="1:16" ht="16.7" customHeight="1">
      <c r="B6" s="141"/>
      <c r="C6" s="141"/>
      <c r="D6" s="141"/>
      <c r="E6" s="141"/>
      <c r="F6" s="141"/>
      <c r="G6" s="141"/>
      <c r="H6" s="141"/>
      <c r="I6" s="142"/>
      <c r="J6" s="142"/>
      <c r="K6" s="142"/>
      <c r="L6" s="141"/>
      <c r="M6" s="141"/>
      <c r="N6" s="141"/>
      <c r="O6" s="141"/>
    </row>
    <row r="7" spans="1:16" ht="24.75" customHeight="1">
      <c r="B7" s="612" t="s">
        <v>437</v>
      </c>
      <c r="C7" s="612"/>
      <c r="D7" s="612"/>
      <c r="E7" s="612"/>
      <c r="F7" s="612"/>
      <c r="G7" s="612"/>
      <c r="H7" s="612"/>
      <c r="I7" s="612"/>
      <c r="J7" s="612"/>
      <c r="K7" s="612"/>
      <c r="L7" s="613" t="s">
        <v>438</v>
      </c>
      <c r="M7" s="613"/>
      <c r="N7" s="613"/>
      <c r="O7" s="613"/>
      <c r="P7" s="143"/>
    </row>
    <row r="8" spans="1:16" ht="24" customHeight="1">
      <c r="B8" s="614" t="s">
        <v>439</v>
      </c>
      <c r="C8" s="615"/>
      <c r="D8" s="616" t="s">
        <v>440</v>
      </c>
      <c r="E8" s="618" t="s">
        <v>441</v>
      </c>
      <c r="F8" s="620" t="s">
        <v>442</v>
      </c>
      <c r="G8" s="621"/>
      <c r="H8" s="621" t="s">
        <v>443</v>
      </c>
      <c r="I8" s="623" t="s">
        <v>444</v>
      </c>
      <c r="J8" s="624"/>
      <c r="K8" s="618" t="s">
        <v>445</v>
      </c>
      <c r="L8" s="586" t="s">
        <v>446</v>
      </c>
      <c r="M8" s="587" t="s">
        <v>447</v>
      </c>
      <c r="N8" s="587" t="s">
        <v>448</v>
      </c>
      <c r="O8" s="588" t="s">
        <v>9</v>
      </c>
    </row>
    <row r="9" spans="1:16" ht="29.25" customHeight="1">
      <c r="B9" s="589" t="s">
        <v>449</v>
      </c>
      <c r="C9" s="590" t="s">
        <v>442</v>
      </c>
      <c r="D9" s="617"/>
      <c r="E9" s="619"/>
      <c r="F9" s="591" t="s">
        <v>450</v>
      </c>
      <c r="G9" s="592" t="s">
        <v>451</v>
      </c>
      <c r="H9" s="622"/>
      <c r="I9" s="591" t="s">
        <v>449</v>
      </c>
      <c r="J9" s="592" t="s">
        <v>442</v>
      </c>
      <c r="K9" s="619"/>
      <c r="L9" s="593" t="s">
        <v>452</v>
      </c>
      <c r="M9" s="594" t="s">
        <v>453</v>
      </c>
      <c r="N9" s="594" t="s">
        <v>454</v>
      </c>
      <c r="O9" s="595" t="s">
        <v>455</v>
      </c>
    </row>
    <row r="10" spans="1:16" ht="21" customHeight="1">
      <c r="B10" s="602" t="s">
        <v>456</v>
      </c>
      <c r="C10" s="603"/>
      <c r="D10" s="603"/>
      <c r="E10" s="603"/>
      <c r="F10" s="603"/>
      <c r="G10" s="603"/>
      <c r="H10" s="603"/>
      <c r="I10" s="603"/>
      <c r="J10" s="603"/>
      <c r="K10" s="603"/>
      <c r="L10" s="603"/>
      <c r="M10" s="603"/>
      <c r="N10" s="603"/>
      <c r="O10" s="604"/>
    </row>
    <row r="11" spans="1:16" ht="16.7" customHeight="1">
      <c r="B11" s="564" t="s">
        <v>457</v>
      </c>
      <c r="C11" s="564" t="s">
        <v>458</v>
      </c>
      <c r="D11" s="564" t="s">
        <v>459</v>
      </c>
      <c r="E11" s="564" t="s">
        <v>460</v>
      </c>
      <c r="F11" s="564" t="s">
        <v>461</v>
      </c>
      <c r="G11" s="564" t="s">
        <v>462</v>
      </c>
      <c r="H11" s="564" t="s">
        <v>463</v>
      </c>
      <c r="I11" s="564" t="s">
        <v>226</v>
      </c>
      <c r="J11" s="564" t="s">
        <v>464</v>
      </c>
      <c r="K11" s="565" t="s">
        <v>463</v>
      </c>
      <c r="L11" s="568">
        <f>'ElementaçãoTesouro 2027'!G27</f>
        <v>497453790</v>
      </c>
      <c r="M11" s="569"/>
      <c r="N11" s="569"/>
      <c r="O11" s="570">
        <f t="shared" ref="O11:O24" si="0">L11+M11+N11</f>
        <v>497453790</v>
      </c>
    </row>
    <row r="12" spans="1:16" ht="24" customHeight="1">
      <c r="B12" s="550" t="s">
        <v>457</v>
      </c>
      <c r="C12" s="550" t="s">
        <v>458</v>
      </c>
      <c r="D12" s="550" t="s">
        <v>465</v>
      </c>
      <c r="E12" s="550" t="s">
        <v>466</v>
      </c>
      <c r="F12" s="550" t="s">
        <v>467</v>
      </c>
      <c r="G12" s="550" t="s">
        <v>468</v>
      </c>
      <c r="H12" s="550" t="s">
        <v>463</v>
      </c>
      <c r="I12" s="550" t="s">
        <v>226</v>
      </c>
      <c r="J12" s="550" t="s">
        <v>464</v>
      </c>
      <c r="K12" s="551" t="s">
        <v>469</v>
      </c>
      <c r="L12" s="554">
        <f>'ElementaçãoTesouro 2027'!G141</f>
        <v>87999000</v>
      </c>
      <c r="M12" s="548"/>
      <c r="N12" s="548"/>
      <c r="O12" s="545">
        <f t="shared" si="0"/>
        <v>87999000</v>
      </c>
      <c r="P12" s="144"/>
    </row>
    <row r="13" spans="1:16" ht="16.7" customHeight="1">
      <c r="B13" s="550" t="s">
        <v>457</v>
      </c>
      <c r="C13" s="550" t="s">
        <v>458</v>
      </c>
      <c r="D13" s="550" t="s">
        <v>459</v>
      </c>
      <c r="E13" s="550" t="s">
        <v>470</v>
      </c>
      <c r="F13" s="550" t="s">
        <v>461</v>
      </c>
      <c r="G13" s="550" t="s">
        <v>471</v>
      </c>
      <c r="H13" s="550" t="s">
        <v>463</v>
      </c>
      <c r="I13" s="550" t="s">
        <v>226</v>
      </c>
      <c r="J13" s="550" t="s">
        <v>464</v>
      </c>
      <c r="K13" s="551" t="s">
        <v>463</v>
      </c>
      <c r="L13" s="554"/>
      <c r="M13" s="549">
        <f>'ElementaçãoTesouro 2027'!G48</f>
        <v>101113620</v>
      </c>
      <c r="N13" s="548"/>
      <c r="O13" s="545">
        <f t="shared" si="0"/>
        <v>101113620</v>
      </c>
    </row>
    <row r="14" spans="1:16" ht="26.25" customHeight="1">
      <c r="B14" s="550" t="s">
        <v>457</v>
      </c>
      <c r="C14" s="550" t="s">
        <v>458</v>
      </c>
      <c r="D14" s="550" t="s">
        <v>465</v>
      </c>
      <c r="E14" s="550" t="s">
        <v>472</v>
      </c>
      <c r="F14" s="550" t="s">
        <v>467</v>
      </c>
      <c r="G14" s="550" t="s">
        <v>473</v>
      </c>
      <c r="H14" s="550" t="s">
        <v>463</v>
      </c>
      <c r="I14" s="550" t="s">
        <v>226</v>
      </c>
      <c r="J14" s="550" t="s">
        <v>464</v>
      </c>
      <c r="K14" s="551" t="s">
        <v>469</v>
      </c>
      <c r="L14" s="554"/>
      <c r="M14" s="548">
        <f>'ElementaçãoTesouro 2027'!G152</f>
        <v>12845584</v>
      </c>
      <c r="N14" s="548"/>
      <c r="O14" s="545">
        <f t="shared" si="0"/>
        <v>12845584</v>
      </c>
    </row>
    <row r="15" spans="1:16" ht="24" customHeight="1">
      <c r="B15" s="550" t="s">
        <v>457</v>
      </c>
      <c r="C15" s="550" t="s">
        <v>458</v>
      </c>
      <c r="D15" s="550" t="s">
        <v>465</v>
      </c>
      <c r="E15" s="550" t="s">
        <v>474</v>
      </c>
      <c r="F15" s="550" t="s">
        <v>467</v>
      </c>
      <c r="G15" s="550" t="s">
        <v>303</v>
      </c>
      <c r="H15" s="550" t="s">
        <v>463</v>
      </c>
      <c r="I15" s="550" t="s">
        <v>226</v>
      </c>
      <c r="J15" s="550" t="s">
        <v>464</v>
      </c>
      <c r="K15" s="551" t="s">
        <v>463</v>
      </c>
      <c r="L15" s="554"/>
      <c r="M15" s="548"/>
      <c r="N15" s="548">
        <f>'ElementaçãoTesouro 2027'!G106</f>
        <v>195808116</v>
      </c>
      <c r="O15" s="545">
        <f t="shared" si="0"/>
        <v>195808116</v>
      </c>
    </row>
    <row r="16" spans="1:16" ht="22.5" customHeight="1">
      <c r="B16" s="550" t="s">
        <v>457</v>
      </c>
      <c r="C16" s="550" t="s">
        <v>458</v>
      </c>
      <c r="D16" s="550" t="s">
        <v>465</v>
      </c>
      <c r="E16" s="550" t="s">
        <v>475</v>
      </c>
      <c r="F16" s="550" t="s">
        <v>467</v>
      </c>
      <c r="G16" s="550" t="s">
        <v>476</v>
      </c>
      <c r="H16" s="550" t="s">
        <v>463</v>
      </c>
      <c r="I16" s="550" t="s">
        <v>226</v>
      </c>
      <c r="J16" s="550" t="s">
        <v>464</v>
      </c>
      <c r="K16" s="551" t="s">
        <v>469</v>
      </c>
      <c r="L16" s="554"/>
      <c r="M16" s="548"/>
      <c r="N16" s="548">
        <f>'ElementaçãoTesouro 2027'!G163</f>
        <v>28531480</v>
      </c>
      <c r="O16" s="545">
        <f t="shared" si="0"/>
        <v>28531480</v>
      </c>
    </row>
    <row r="17" spans="1:20" ht="16.7" customHeight="1">
      <c r="B17" s="550" t="s">
        <v>457</v>
      </c>
      <c r="C17" s="550" t="s">
        <v>458</v>
      </c>
      <c r="D17" s="550" t="s">
        <v>477</v>
      </c>
      <c r="E17" s="550" t="s">
        <v>478</v>
      </c>
      <c r="F17" s="550" t="s">
        <v>461</v>
      </c>
      <c r="G17" s="550" t="s">
        <v>479</v>
      </c>
      <c r="H17" s="550" t="s">
        <v>463</v>
      </c>
      <c r="I17" s="550" t="s">
        <v>226</v>
      </c>
      <c r="J17" s="550" t="s">
        <v>464</v>
      </c>
      <c r="K17" s="551" t="s">
        <v>463</v>
      </c>
      <c r="L17" s="554"/>
      <c r="M17" s="548"/>
      <c r="N17" s="548">
        <f>'ElementaçãoTesouro 2027'!G58</f>
        <v>729122</v>
      </c>
      <c r="O17" s="545">
        <f t="shared" si="0"/>
        <v>729122</v>
      </c>
    </row>
    <row r="18" spans="1:20" ht="16.7" customHeight="1">
      <c r="B18" s="550" t="s">
        <v>457</v>
      </c>
      <c r="C18" s="550" t="s">
        <v>458</v>
      </c>
      <c r="D18" s="550" t="s">
        <v>459</v>
      </c>
      <c r="E18" s="550" t="s">
        <v>480</v>
      </c>
      <c r="F18" s="550" t="s">
        <v>461</v>
      </c>
      <c r="G18" s="550" t="s">
        <v>324</v>
      </c>
      <c r="H18" s="550" t="s">
        <v>463</v>
      </c>
      <c r="I18" s="550" t="s">
        <v>226</v>
      </c>
      <c r="J18" s="550" t="s">
        <v>464</v>
      </c>
      <c r="K18" s="551" t="s">
        <v>463</v>
      </c>
      <c r="L18" s="554"/>
      <c r="M18" s="548"/>
      <c r="N18" s="548">
        <f>'ElementaçãoTesouro 2027'!G72</f>
        <v>375700</v>
      </c>
      <c r="O18" s="545">
        <f t="shared" si="0"/>
        <v>375700</v>
      </c>
    </row>
    <row r="19" spans="1:20" ht="29.25" customHeight="1">
      <c r="B19" s="550" t="s">
        <v>457</v>
      </c>
      <c r="C19" s="550" t="s">
        <v>458</v>
      </c>
      <c r="D19" s="550" t="s">
        <v>481</v>
      </c>
      <c r="E19" s="550" t="s">
        <v>482</v>
      </c>
      <c r="F19" s="550" t="s">
        <v>483</v>
      </c>
      <c r="G19" s="553" t="s">
        <v>484</v>
      </c>
      <c r="H19" s="550" t="s">
        <v>463</v>
      </c>
      <c r="I19" s="550" t="s">
        <v>226</v>
      </c>
      <c r="J19" s="550" t="s">
        <v>464</v>
      </c>
      <c r="K19" s="551" t="s">
        <v>463</v>
      </c>
      <c r="L19" s="554"/>
      <c r="M19" s="548"/>
      <c r="N19" s="548">
        <f>'ElementaçãoTesouro 2027'!G81</f>
        <v>7965000</v>
      </c>
      <c r="O19" s="545">
        <f t="shared" si="0"/>
        <v>7965000</v>
      </c>
    </row>
    <row r="20" spans="1:20" ht="22.5" customHeight="1">
      <c r="B20" s="550" t="s">
        <v>485</v>
      </c>
      <c r="C20" s="550" t="s">
        <v>486</v>
      </c>
      <c r="D20" s="550" t="s">
        <v>465</v>
      </c>
      <c r="E20" s="550" t="s">
        <v>487</v>
      </c>
      <c r="F20" s="550" t="s">
        <v>467</v>
      </c>
      <c r="G20" s="553" t="s">
        <v>468</v>
      </c>
      <c r="H20" s="550" t="s">
        <v>463</v>
      </c>
      <c r="I20" s="550" t="s">
        <v>122</v>
      </c>
      <c r="J20" s="550" t="s">
        <v>488</v>
      </c>
      <c r="K20" s="551" t="s">
        <v>469</v>
      </c>
      <c r="L20" s="554">
        <f>'Elementação FERD 2027'!F60</f>
        <v>18298492</v>
      </c>
      <c r="M20" s="548"/>
      <c r="N20" s="548"/>
      <c r="O20" s="545">
        <f t="shared" si="0"/>
        <v>18298492</v>
      </c>
    </row>
    <row r="21" spans="1:20" ht="26.25" customHeight="1">
      <c r="B21" s="550" t="s">
        <v>485</v>
      </c>
      <c r="C21" s="550" t="s">
        <v>486</v>
      </c>
      <c r="D21" s="550" t="s">
        <v>465</v>
      </c>
      <c r="E21" s="550" t="s">
        <v>489</v>
      </c>
      <c r="F21" s="550" t="s">
        <v>467</v>
      </c>
      <c r="G21" s="553" t="s">
        <v>473</v>
      </c>
      <c r="H21" s="550" t="s">
        <v>463</v>
      </c>
      <c r="I21" s="550" t="s">
        <v>122</v>
      </c>
      <c r="J21" s="550" t="s">
        <v>490</v>
      </c>
      <c r="K21" s="551" t="s">
        <v>469</v>
      </c>
      <c r="L21" s="554"/>
      <c r="M21" s="548">
        <f>'Elementação FERD 2027'!F88</f>
        <v>2802956</v>
      </c>
      <c r="N21" s="548"/>
      <c r="O21" s="545">
        <f t="shared" si="0"/>
        <v>2802956</v>
      </c>
    </row>
    <row r="22" spans="1:20" ht="22.5" customHeight="1">
      <c r="B22" s="550" t="s">
        <v>485</v>
      </c>
      <c r="C22" s="550" t="s">
        <v>486</v>
      </c>
      <c r="D22" s="550" t="s">
        <v>465</v>
      </c>
      <c r="E22" s="550" t="s">
        <v>491</v>
      </c>
      <c r="F22" s="550" t="s">
        <v>467</v>
      </c>
      <c r="G22" s="553" t="s">
        <v>476</v>
      </c>
      <c r="H22" s="550" t="s">
        <v>463</v>
      </c>
      <c r="I22" s="550" t="s">
        <v>81</v>
      </c>
      <c r="J22" s="550" t="s">
        <v>488</v>
      </c>
      <c r="K22" s="551" t="s">
        <v>469</v>
      </c>
      <c r="L22" s="554"/>
      <c r="M22" s="548"/>
      <c r="N22" s="548">
        <f>'Elementação FERD 2027'!F216</f>
        <v>29260674</v>
      </c>
      <c r="O22" s="545">
        <f t="shared" si="0"/>
        <v>29260674</v>
      </c>
      <c r="P22" s="145"/>
      <c r="T22" s="526"/>
    </row>
    <row r="23" spans="1:20" ht="23.25" customHeight="1">
      <c r="B23" s="550" t="s">
        <v>485</v>
      </c>
      <c r="C23" s="550" t="s">
        <v>486</v>
      </c>
      <c r="D23" s="550" t="s">
        <v>465</v>
      </c>
      <c r="E23" s="550" t="s">
        <v>491</v>
      </c>
      <c r="F23" s="550" t="s">
        <v>467</v>
      </c>
      <c r="G23" s="553" t="s">
        <v>476</v>
      </c>
      <c r="H23" s="550" t="s">
        <v>463</v>
      </c>
      <c r="I23" s="550" t="s">
        <v>122</v>
      </c>
      <c r="J23" s="550" t="s">
        <v>490</v>
      </c>
      <c r="K23" s="551" t="s">
        <v>469</v>
      </c>
      <c r="L23" s="554"/>
      <c r="M23" s="548"/>
      <c r="N23" s="548">
        <f>'Elementação FERD 2027'!F218</f>
        <v>5845772</v>
      </c>
      <c r="O23" s="545">
        <f t="shared" si="0"/>
        <v>5845772</v>
      </c>
      <c r="Q23" s="34"/>
    </row>
    <row r="24" spans="1:20" ht="16.7" customHeight="1">
      <c r="B24" s="550" t="s">
        <v>485</v>
      </c>
      <c r="C24" s="551" t="s">
        <v>486</v>
      </c>
      <c r="D24" s="550" t="s">
        <v>459</v>
      </c>
      <c r="E24" s="550" t="s">
        <v>492</v>
      </c>
      <c r="F24" s="551" t="s">
        <v>461</v>
      </c>
      <c r="G24" s="550" t="s">
        <v>305</v>
      </c>
      <c r="H24" s="551" t="s">
        <v>463</v>
      </c>
      <c r="I24" s="551" t="s">
        <v>81</v>
      </c>
      <c r="J24" s="550" t="s">
        <v>488</v>
      </c>
      <c r="K24" s="550" t="s">
        <v>469</v>
      </c>
      <c r="L24" s="555"/>
      <c r="M24" s="541"/>
      <c r="N24" s="543">
        <f>'Elementação FERD 2027'!F99</f>
        <v>10419195</v>
      </c>
      <c r="O24" s="542">
        <f t="shared" si="0"/>
        <v>10419195</v>
      </c>
      <c r="Q24" s="34"/>
    </row>
    <row r="25" spans="1:20" ht="22.5" customHeight="1">
      <c r="B25" s="605" t="s">
        <v>493</v>
      </c>
      <c r="C25" s="605">
        <f t="shared" ref="C25:K25" si="1">SUM(C11:C19)</f>
        <v>0</v>
      </c>
      <c r="D25" s="605">
        <f t="shared" si="1"/>
        <v>0</v>
      </c>
      <c r="E25" s="605">
        <f t="shared" si="1"/>
        <v>0</v>
      </c>
      <c r="F25" s="605">
        <f t="shared" si="1"/>
        <v>0</v>
      </c>
      <c r="G25" s="605">
        <f t="shared" si="1"/>
        <v>0</v>
      </c>
      <c r="H25" s="605">
        <f t="shared" si="1"/>
        <v>0</v>
      </c>
      <c r="I25" s="605">
        <f t="shared" si="1"/>
        <v>0</v>
      </c>
      <c r="J25" s="605">
        <f t="shared" si="1"/>
        <v>0</v>
      </c>
      <c r="K25" s="605">
        <f t="shared" si="1"/>
        <v>0</v>
      </c>
      <c r="L25" s="562">
        <f>SUM(L11:L23)</f>
        <v>603751282</v>
      </c>
      <c r="M25" s="562">
        <f>SUM(M11:M23)</f>
        <v>116762160</v>
      </c>
      <c r="N25" s="562">
        <f>SUM(N11:N24)</f>
        <v>278935059</v>
      </c>
      <c r="O25" s="563">
        <f>SUM(O11:O24)</f>
        <v>999448501</v>
      </c>
      <c r="Q25" s="146"/>
    </row>
    <row r="26" spans="1:20" ht="22.5" customHeight="1">
      <c r="B26" s="606" t="s">
        <v>494</v>
      </c>
      <c r="C26" s="607"/>
      <c r="D26" s="607"/>
      <c r="E26" s="607"/>
      <c r="F26" s="607"/>
      <c r="G26" s="607"/>
      <c r="H26" s="607"/>
      <c r="I26" s="607"/>
      <c r="J26" s="607"/>
      <c r="K26" s="607"/>
      <c r="L26" s="607"/>
      <c r="M26" s="607"/>
      <c r="N26" s="607"/>
      <c r="O26" s="608"/>
    </row>
    <row r="27" spans="1:20" s="132" customFormat="1" ht="16.7" customHeight="1">
      <c r="B27" s="564" t="s">
        <v>457</v>
      </c>
      <c r="C27" s="564" t="s">
        <v>458</v>
      </c>
      <c r="D27" s="564" t="s">
        <v>459</v>
      </c>
      <c r="E27" s="564" t="s">
        <v>460</v>
      </c>
      <c r="F27" s="564" t="s">
        <v>461</v>
      </c>
      <c r="G27" s="564" t="s">
        <v>462</v>
      </c>
      <c r="H27" s="564" t="s">
        <v>463</v>
      </c>
      <c r="I27" s="564" t="s">
        <v>226</v>
      </c>
      <c r="J27" s="564" t="s">
        <v>464</v>
      </c>
      <c r="K27" s="565" t="s">
        <v>469</v>
      </c>
      <c r="L27" s="546">
        <f>'ElementaçãoTesouro 2027'!G28</f>
        <v>10993000</v>
      </c>
      <c r="M27" s="566"/>
      <c r="N27" s="567"/>
      <c r="O27" s="547">
        <f t="shared" ref="O27:O59" si="2">L27+M27+N27</f>
        <v>10993000</v>
      </c>
    </row>
    <row r="28" spans="1:20" ht="16.7" customHeight="1">
      <c r="A28" s="132"/>
      <c r="B28" s="550" t="s">
        <v>457</v>
      </c>
      <c r="C28" s="550" t="s">
        <v>458</v>
      </c>
      <c r="D28" s="550" t="s">
        <v>459</v>
      </c>
      <c r="E28" s="550" t="s">
        <v>470</v>
      </c>
      <c r="F28" s="550" t="s">
        <v>461</v>
      </c>
      <c r="G28" s="550" t="s">
        <v>471</v>
      </c>
      <c r="H28" s="550" t="s">
        <v>463</v>
      </c>
      <c r="I28" s="550" t="s">
        <v>226</v>
      </c>
      <c r="J28" s="550" t="s">
        <v>464</v>
      </c>
      <c r="K28" s="551" t="s">
        <v>469</v>
      </c>
      <c r="L28" s="539"/>
      <c r="M28" s="539">
        <f>'ElementaçãoTesouro 2027'!G49</f>
        <v>4072000</v>
      </c>
      <c r="N28" s="552"/>
      <c r="O28" s="540">
        <f t="shared" si="2"/>
        <v>4072000</v>
      </c>
    </row>
    <row r="29" spans="1:20" ht="24" customHeight="1">
      <c r="A29" s="132"/>
      <c r="B29" s="550" t="s">
        <v>457</v>
      </c>
      <c r="C29" s="550" t="s">
        <v>458</v>
      </c>
      <c r="D29" s="550" t="s">
        <v>465</v>
      </c>
      <c r="E29" s="550" t="s">
        <v>474</v>
      </c>
      <c r="F29" s="550" t="s">
        <v>467</v>
      </c>
      <c r="G29" s="550" t="s">
        <v>303</v>
      </c>
      <c r="H29" s="550" t="s">
        <v>463</v>
      </c>
      <c r="I29" s="550" t="s">
        <v>226</v>
      </c>
      <c r="J29" s="550" t="s">
        <v>464</v>
      </c>
      <c r="K29" s="551" t="s">
        <v>469</v>
      </c>
      <c r="L29" s="541"/>
      <c r="M29" s="541"/>
      <c r="N29" s="552">
        <f>'ElementaçãoTesouro 2027'!G107</f>
        <v>2446000</v>
      </c>
      <c r="O29" s="540">
        <f t="shared" si="2"/>
        <v>2446000</v>
      </c>
      <c r="Q29" s="34"/>
    </row>
    <row r="30" spans="1:20" ht="16.7" customHeight="1">
      <c r="A30" s="132"/>
      <c r="B30" s="550" t="s">
        <v>457</v>
      </c>
      <c r="C30" s="550" t="s">
        <v>458</v>
      </c>
      <c r="D30" s="550" t="s">
        <v>477</v>
      </c>
      <c r="E30" s="550" t="s">
        <v>478</v>
      </c>
      <c r="F30" s="550" t="s">
        <v>461</v>
      </c>
      <c r="G30" s="550" t="s">
        <v>479</v>
      </c>
      <c r="H30" s="550" t="s">
        <v>463</v>
      </c>
      <c r="I30" s="550" t="s">
        <v>226</v>
      </c>
      <c r="J30" s="550" t="s">
        <v>464</v>
      </c>
      <c r="K30" s="551" t="s">
        <v>469</v>
      </c>
      <c r="L30" s="541"/>
      <c r="M30" s="541"/>
      <c r="N30" s="552">
        <f>'ElementaçãoTesouro 2027'!G59</f>
        <v>97693</v>
      </c>
      <c r="O30" s="540">
        <f t="shared" si="2"/>
        <v>97693</v>
      </c>
    </row>
    <row r="31" spans="1:20" ht="16.7" customHeight="1">
      <c r="A31" s="132"/>
      <c r="B31" s="550" t="s">
        <v>457</v>
      </c>
      <c r="C31" s="550" t="s">
        <v>458</v>
      </c>
      <c r="D31" s="550" t="s">
        <v>459</v>
      </c>
      <c r="E31" s="550" t="s">
        <v>480</v>
      </c>
      <c r="F31" s="550" t="s">
        <v>461</v>
      </c>
      <c r="G31" s="550" t="s">
        <v>324</v>
      </c>
      <c r="H31" s="550" t="s">
        <v>463</v>
      </c>
      <c r="I31" s="550" t="s">
        <v>226</v>
      </c>
      <c r="J31" s="550" t="s">
        <v>464</v>
      </c>
      <c r="K31" s="551" t="s">
        <v>469</v>
      </c>
      <c r="L31" s="541"/>
      <c r="M31" s="541"/>
      <c r="N31" s="552">
        <f>'ElementaçãoTesouro 2027'!G73</f>
        <v>196154</v>
      </c>
      <c r="O31" s="540">
        <f t="shared" si="2"/>
        <v>196154</v>
      </c>
    </row>
    <row r="32" spans="1:20" ht="16.7" customHeight="1">
      <c r="A32" s="132"/>
      <c r="B32" s="550" t="s">
        <v>457</v>
      </c>
      <c r="C32" s="550" t="s">
        <v>458</v>
      </c>
      <c r="D32" s="550" t="s">
        <v>459</v>
      </c>
      <c r="E32" s="550" t="s">
        <v>480</v>
      </c>
      <c r="F32" s="550" t="s">
        <v>461</v>
      </c>
      <c r="G32" s="550" t="s">
        <v>324</v>
      </c>
      <c r="H32" s="550" t="s">
        <v>463</v>
      </c>
      <c r="I32" s="550" t="s">
        <v>226</v>
      </c>
      <c r="J32" s="550" t="s">
        <v>464</v>
      </c>
      <c r="K32" s="550" t="s">
        <v>495</v>
      </c>
      <c r="L32" s="541"/>
      <c r="M32" s="541"/>
      <c r="N32" s="552">
        <f>'ElementaçãoTesouro 2027'!G74</f>
        <v>128146</v>
      </c>
      <c r="O32" s="540">
        <f t="shared" si="2"/>
        <v>128146</v>
      </c>
    </row>
    <row r="33" spans="1:18" ht="16.7" customHeight="1">
      <c r="A33" s="147"/>
      <c r="B33" s="550" t="s">
        <v>485</v>
      </c>
      <c r="C33" s="551" t="s">
        <v>486</v>
      </c>
      <c r="D33" s="551" t="s">
        <v>459</v>
      </c>
      <c r="E33" s="551" t="s">
        <v>496</v>
      </c>
      <c r="F33" s="551" t="s">
        <v>461</v>
      </c>
      <c r="G33" s="550" t="s">
        <v>307</v>
      </c>
      <c r="H33" s="551" t="s">
        <v>463</v>
      </c>
      <c r="I33" s="551" t="s">
        <v>122</v>
      </c>
      <c r="J33" s="550" t="s">
        <v>490</v>
      </c>
      <c r="K33" s="550" t="s">
        <v>495</v>
      </c>
      <c r="L33" s="541"/>
      <c r="M33" s="541"/>
      <c r="N33" s="552">
        <f>'Elementação FERD 2027'!F116</f>
        <v>55399.999999999993</v>
      </c>
      <c r="O33" s="540">
        <f t="shared" si="2"/>
        <v>55399.999999999993</v>
      </c>
      <c r="P33" s="148"/>
    </row>
    <row r="34" spans="1:18" s="132" customFormat="1" ht="16.7" customHeight="1">
      <c r="B34" s="550" t="s">
        <v>485</v>
      </c>
      <c r="C34" s="551" t="s">
        <v>486</v>
      </c>
      <c r="D34" s="551" t="s">
        <v>459</v>
      </c>
      <c r="E34" s="551" t="s">
        <v>497</v>
      </c>
      <c r="F34" s="551" t="s">
        <v>461</v>
      </c>
      <c r="G34" s="550" t="s">
        <v>306</v>
      </c>
      <c r="H34" s="551" t="s">
        <v>463</v>
      </c>
      <c r="I34" s="550" t="s">
        <v>122</v>
      </c>
      <c r="J34" s="550" t="s">
        <v>490</v>
      </c>
      <c r="K34" s="550" t="s">
        <v>495</v>
      </c>
      <c r="L34" s="541"/>
      <c r="M34" s="541"/>
      <c r="N34" s="552">
        <f>'Elementação FERD 2027'!F108</f>
        <v>55399.999999999993</v>
      </c>
      <c r="O34" s="540">
        <f t="shared" si="2"/>
        <v>55399.999999999993</v>
      </c>
      <c r="P34" s="149"/>
    </row>
    <row r="35" spans="1:18" ht="16.7" customHeight="1">
      <c r="A35" s="132"/>
      <c r="B35" s="550" t="s">
        <v>485</v>
      </c>
      <c r="C35" s="551" t="s">
        <v>486</v>
      </c>
      <c r="D35" s="551" t="s">
        <v>459</v>
      </c>
      <c r="E35" s="551" t="s">
        <v>498</v>
      </c>
      <c r="F35" s="551" t="s">
        <v>461</v>
      </c>
      <c r="G35" s="550" t="s">
        <v>308</v>
      </c>
      <c r="H35" s="551" t="s">
        <v>463</v>
      </c>
      <c r="I35" s="551" t="s">
        <v>122</v>
      </c>
      <c r="J35" s="550" t="s">
        <v>490</v>
      </c>
      <c r="K35" s="550" t="s">
        <v>469</v>
      </c>
      <c r="L35" s="541"/>
      <c r="M35" s="541"/>
      <c r="N35" s="552">
        <f>'Elementação FERD 2027'!F125</f>
        <v>1000000</v>
      </c>
      <c r="O35" s="540">
        <f t="shared" si="2"/>
        <v>1000000</v>
      </c>
      <c r="P35" s="149"/>
    </row>
    <row r="36" spans="1:18" ht="16.7" customHeight="1">
      <c r="A36" s="132"/>
      <c r="B36" s="550" t="s">
        <v>485</v>
      </c>
      <c r="C36" s="550" t="s">
        <v>486</v>
      </c>
      <c r="D36" s="550" t="s">
        <v>459</v>
      </c>
      <c r="E36" s="550" t="s">
        <v>499</v>
      </c>
      <c r="F36" s="550" t="s">
        <v>461</v>
      </c>
      <c r="G36" s="550" t="s">
        <v>462</v>
      </c>
      <c r="H36" s="551" t="s">
        <v>463</v>
      </c>
      <c r="I36" s="551" t="s">
        <v>81</v>
      </c>
      <c r="J36" s="550" t="s">
        <v>488</v>
      </c>
      <c r="K36" s="550" t="s">
        <v>469</v>
      </c>
      <c r="L36" s="548">
        <f>'Elementação FERD 2027'!F37</f>
        <v>49505</v>
      </c>
      <c r="M36" s="541"/>
      <c r="N36" s="555"/>
      <c r="O36" s="540">
        <f t="shared" si="2"/>
        <v>49505</v>
      </c>
      <c r="P36" s="149"/>
    </row>
    <row r="37" spans="1:18" ht="16.7" customHeight="1">
      <c r="A37" s="132"/>
      <c r="B37" s="550" t="s">
        <v>485</v>
      </c>
      <c r="C37" s="550" t="s">
        <v>486</v>
      </c>
      <c r="D37" s="550" t="s">
        <v>459</v>
      </c>
      <c r="E37" s="550" t="s">
        <v>499</v>
      </c>
      <c r="F37" s="550" t="s">
        <v>461</v>
      </c>
      <c r="G37" s="550" t="s">
        <v>462</v>
      </c>
      <c r="H37" s="551" t="s">
        <v>463</v>
      </c>
      <c r="I37" s="551" t="s">
        <v>81</v>
      </c>
      <c r="J37" s="550" t="s">
        <v>488</v>
      </c>
      <c r="K37" s="550" t="s">
        <v>495</v>
      </c>
      <c r="L37" s="548">
        <f>'Elementação FERD 2027'!F38</f>
        <v>0</v>
      </c>
      <c r="M37" s="541"/>
      <c r="N37" s="555"/>
      <c r="O37" s="540">
        <f t="shared" si="2"/>
        <v>0</v>
      </c>
      <c r="P37" s="149"/>
    </row>
    <row r="38" spans="1:18" ht="16.7" customHeight="1">
      <c r="A38" s="132"/>
      <c r="B38" s="550" t="s">
        <v>485</v>
      </c>
      <c r="C38" s="550" t="s">
        <v>486</v>
      </c>
      <c r="D38" s="550" t="s">
        <v>459</v>
      </c>
      <c r="E38" s="550" t="s">
        <v>499</v>
      </c>
      <c r="F38" s="550" t="s">
        <v>461</v>
      </c>
      <c r="G38" s="550" t="s">
        <v>462</v>
      </c>
      <c r="H38" s="551" t="s">
        <v>463</v>
      </c>
      <c r="I38" s="551" t="s">
        <v>122</v>
      </c>
      <c r="J38" s="550" t="s">
        <v>490</v>
      </c>
      <c r="K38" s="550" t="s">
        <v>469</v>
      </c>
      <c r="L38" s="539">
        <f>'Elementação FERD 2027'!F40</f>
        <v>17047615</v>
      </c>
      <c r="M38" s="541"/>
      <c r="N38" s="555"/>
      <c r="O38" s="540">
        <f t="shared" si="2"/>
        <v>17047615</v>
      </c>
      <c r="P38" s="149"/>
      <c r="R38" s="527"/>
    </row>
    <row r="39" spans="1:18" ht="16.7" customHeight="1">
      <c r="A39" s="132"/>
      <c r="B39" s="550" t="s">
        <v>485</v>
      </c>
      <c r="C39" s="550" t="s">
        <v>486</v>
      </c>
      <c r="D39" s="550" t="s">
        <v>459</v>
      </c>
      <c r="E39" s="550" t="s">
        <v>499</v>
      </c>
      <c r="F39" s="550" t="s">
        <v>461</v>
      </c>
      <c r="G39" s="550" t="s">
        <v>462</v>
      </c>
      <c r="H39" s="551" t="s">
        <v>463</v>
      </c>
      <c r="I39" s="551" t="s">
        <v>122</v>
      </c>
      <c r="J39" s="550" t="s">
        <v>490</v>
      </c>
      <c r="K39" s="550" t="s">
        <v>495</v>
      </c>
      <c r="L39" s="539">
        <f>'Elementação FERD 2027'!F41</f>
        <v>166210</v>
      </c>
      <c r="M39" s="541"/>
      <c r="N39" s="555"/>
      <c r="O39" s="540">
        <f t="shared" si="2"/>
        <v>166210</v>
      </c>
      <c r="P39" s="149"/>
      <c r="R39" s="485"/>
    </row>
    <row r="40" spans="1:18" ht="22.5" customHeight="1">
      <c r="A40" s="132"/>
      <c r="B40" s="550" t="s">
        <v>485</v>
      </c>
      <c r="C40" s="550" t="s">
        <v>486</v>
      </c>
      <c r="D40" s="550" t="s">
        <v>465</v>
      </c>
      <c r="E40" s="550" t="s">
        <v>500</v>
      </c>
      <c r="F40" s="550" t="s">
        <v>467</v>
      </c>
      <c r="G40" s="550" t="s">
        <v>501</v>
      </c>
      <c r="H40" s="550" t="s">
        <v>463</v>
      </c>
      <c r="I40" s="551" t="s">
        <v>81</v>
      </c>
      <c r="J40" s="550" t="s">
        <v>488</v>
      </c>
      <c r="K40" s="550" t="s">
        <v>469</v>
      </c>
      <c r="L40" s="541"/>
      <c r="M40" s="541"/>
      <c r="N40" s="557">
        <f>'Elementação FERD 2027'!F198</f>
        <v>3037857</v>
      </c>
      <c r="O40" s="542">
        <f t="shared" si="2"/>
        <v>3037857</v>
      </c>
      <c r="P40" s="149"/>
    </row>
    <row r="41" spans="1:18" ht="25.5" customHeight="1">
      <c r="A41" s="132"/>
      <c r="B41" s="550" t="s">
        <v>485</v>
      </c>
      <c r="C41" s="550" t="s">
        <v>486</v>
      </c>
      <c r="D41" s="550" t="s">
        <v>465</v>
      </c>
      <c r="E41" s="550" t="s">
        <v>500</v>
      </c>
      <c r="F41" s="550" t="s">
        <v>467</v>
      </c>
      <c r="G41" s="550" t="s">
        <v>501</v>
      </c>
      <c r="H41" s="550" t="s">
        <v>463</v>
      </c>
      <c r="I41" s="551" t="s">
        <v>122</v>
      </c>
      <c r="J41" s="550" t="s">
        <v>490</v>
      </c>
      <c r="K41" s="550" t="s">
        <v>469</v>
      </c>
      <c r="L41" s="541"/>
      <c r="M41" s="541"/>
      <c r="N41" s="558">
        <f>'Elementação FERD 2027'!F200</f>
        <v>30206802.002</v>
      </c>
      <c r="O41" s="542">
        <f t="shared" si="2"/>
        <v>30206802.002</v>
      </c>
      <c r="P41" s="149"/>
    </row>
    <row r="42" spans="1:18" ht="16.7" customHeight="1">
      <c r="A42" s="132"/>
      <c r="B42" s="550" t="s">
        <v>485</v>
      </c>
      <c r="C42" s="551" t="s">
        <v>486</v>
      </c>
      <c r="D42" s="551" t="s">
        <v>465</v>
      </c>
      <c r="E42" s="551" t="s">
        <v>502</v>
      </c>
      <c r="F42" s="551" t="s">
        <v>461</v>
      </c>
      <c r="G42" s="550" t="s">
        <v>503</v>
      </c>
      <c r="H42" s="551" t="s">
        <v>463</v>
      </c>
      <c r="I42" s="551" t="s">
        <v>122</v>
      </c>
      <c r="J42" s="550" t="s">
        <v>490</v>
      </c>
      <c r="K42" s="550" t="s">
        <v>495</v>
      </c>
      <c r="L42" s="541"/>
      <c r="M42" s="541"/>
      <c r="N42" s="558">
        <f>'Elementação FERD 2027'!F159</f>
        <v>1000000</v>
      </c>
      <c r="O42" s="542">
        <f t="shared" si="2"/>
        <v>1000000</v>
      </c>
      <c r="P42" s="149"/>
    </row>
    <row r="43" spans="1:18" ht="16.7" customHeight="1">
      <c r="A43" s="132"/>
      <c r="B43" s="550" t="s">
        <v>485</v>
      </c>
      <c r="C43" s="550" t="s">
        <v>486</v>
      </c>
      <c r="D43" s="550" t="s">
        <v>459</v>
      </c>
      <c r="E43" s="550" t="s">
        <v>504</v>
      </c>
      <c r="F43" s="550" t="s">
        <v>461</v>
      </c>
      <c r="G43" s="550" t="s">
        <v>471</v>
      </c>
      <c r="H43" s="556" t="s">
        <v>463</v>
      </c>
      <c r="I43" s="551" t="s">
        <v>122</v>
      </c>
      <c r="J43" s="550" t="s">
        <v>490</v>
      </c>
      <c r="K43" s="550" t="s">
        <v>469</v>
      </c>
      <c r="L43" s="541"/>
      <c r="M43" s="544">
        <f>'Elementação FERD 2027'!F74</f>
        <v>505584</v>
      </c>
      <c r="N43" s="559"/>
      <c r="O43" s="545">
        <f t="shared" si="2"/>
        <v>505584</v>
      </c>
      <c r="P43" s="149"/>
    </row>
    <row r="44" spans="1:18" ht="16.7" customHeight="1">
      <c r="A44" s="132"/>
      <c r="B44" s="550" t="s">
        <v>485</v>
      </c>
      <c r="C44" s="550" t="s">
        <v>486</v>
      </c>
      <c r="D44" s="550" t="s">
        <v>459</v>
      </c>
      <c r="E44" s="550" t="s">
        <v>504</v>
      </c>
      <c r="F44" s="550" t="s">
        <v>461</v>
      </c>
      <c r="G44" s="550" t="s">
        <v>471</v>
      </c>
      <c r="H44" s="556" t="s">
        <v>463</v>
      </c>
      <c r="I44" s="551" t="s">
        <v>122</v>
      </c>
      <c r="J44" s="550" t="s">
        <v>490</v>
      </c>
      <c r="K44" s="550" t="s">
        <v>495</v>
      </c>
      <c r="L44" s="541"/>
      <c r="M44" s="544">
        <f>'Elementação FERD 2027'!F76</f>
        <v>110806.99999999999</v>
      </c>
      <c r="N44" s="559"/>
      <c r="O44" s="545">
        <f t="shared" si="2"/>
        <v>110806.99999999999</v>
      </c>
      <c r="P44" s="149"/>
    </row>
    <row r="45" spans="1:18" ht="16.7" customHeight="1">
      <c r="A45" s="132"/>
      <c r="B45" s="550" t="s">
        <v>485</v>
      </c>
      <c r="C45" s="551" t="s">
        <v>486</v>
      </c>
      <c r="D45" s="551" t="s">
        <v>477</v>
      </c>
      <c r="E45" s="550" t="s">
        <v>505</v>
      </c>
      <c r="F45" s="551" t="s">
        <v>461</v>
      </c>
      <c r="G45" s="550" t="s">
        <v>479</v>
      </c>
      <c r="H45" s="551" t="s">
        <v>463</v>
      </c>
      <c r="I45" s="551" t="s">
        <v>81</v>
      </c>
      <c r="J45" s="550" t="s">
        <v>488</v>
      </c>
      <c r="K45" s="550" t="s">
        <v>469</v>
      </c>
      <c r="L45" s="541"/>
      <c r="M45" s="541"/>
      <c r="N45" s="559">
        <f>'Elementação FERD 2027'!F290</f>
        <v>1621130</v>
      </c>
      <c r="O45" s="545">
        <f t="shared" si="2"/>
        <v>1621130</v>
      </c>
      <c r="P45" s="149"/>
    </row>
    <row r="46" spans="1:18" ht="16.7" customHeight="1">
      <c r="A46" s="132"/>
      <c r="B46" s="550" t="s">
        <v>485</v>
      </c>
      <c r="C46" s="551" t="s">
        <v>486</v>
      </c>
      <c r="D46" s="551" t="s">
        <v>477</v>
      </c>
      <c r="E46" s="550" t="s">
        <v>505</v>
      </c>
      <c r="F46" s="551" t="s">
        <v>461</v>
      </c>
      <c r="G46" s="550" t="s">
        <v>479</v>
      </c>
      <c r="H46" s="551" t="s">
        <v>463</v>
      </c>
      <c r="I46" s="551" t="s">
        <v>81</v>
      </c>
      <c r="J46" s="550" t="s">
        <v>488</v>
      </c>
      <c r="K46" s="550" t="s">
        <v>495</v>
      </c>
      <c r="L46" s="541"/>
      <c r="M46" s="541"/>
      <c r="N46" s="559">
        <f>'Elementação FERD 2027'!F291</f>
        <v>90000</v>
      </c>
      <c r="O46" s="545">
        <f t="shared" si="2"/>
        <v>90000</v>
      </c>
      <c r="P46" s="149"/>
    </row>
    <row r="47" spans="1:18" ht="16.7" customHeight="1">
      <c r="A47" s="132"/>
      <c r="B47" s="550" t="s">
        <v>485</v>
      </c>
      <c r="C47" s="551" t="s">
        <v>486</v>
      </c>
      <c r="D47" s="551" t="s">
        <v>506</v>
      </c>
      <c r="E47" s="550" t="s">
        <v>507</v>
      </c>
      <c r="F47" s="551" t="s">
        <v>461</v>
      </c>
      <c r="G47" s="550" t="s">
        <v>313</v>
      </c>
      <c r="H47" s="551" t="s">
        <v>463</v>
      </c>
      <c r="I47" s="551" t="s">
        <v>81</v>
      </c>
      <c r="J47" s="550" t="s">
        <v>488</v>
      </c>
      <c r="K47" s="550" t="s">
        <v>469</v>
      </c>
      <c r="L47" s="541"/>
      <c r="M47" s="541"/>
      <c r="N47" s="559">
        <f>'Elementação FERD 2027'!F261</f>
        <v>100000</v>
      </c>
      <c r="O47" s="545">
        <f t="shared" si="2"/>
        <v>100000</v>
      </c>
      <c r="P47" s="149"/>
    </row>
    <row r="48" spans="1:18" ht="16.7" customHeight="1">
      <c r="A48" s="132"/>
      <c r="B48" s="550" t="s">
        <v>485</v>
      </c>
      <c r="C48" s="551" t="s">
        <v>486</v>
      </c>
      <c r="D48" s="551" t="s">
        <v>506</v>
      </c>
      <c r="E48" s="550" t="s">
        <v>507</v>
      </c>
      <c r="F48" s="551" t="s">
        <v>461</v>
      </c>
      <c r="G48" s="550" t="s">
        <v>313</v>
      </c>
      <c r="H48" s="551" t="s">
        <v>463</v>
      </c>
      <c r="I48" s="551" t="s">
        <v>81</v>
      </c>
      <c r="J48" s="550" t="s">
        <v>488</v>
      </c>
      <c r="K48" s="550" t="s">
        <v>495</v>
      </c>
      <c r="L48" s="541"/>
      <c r="M48" s="541"/>
      <c r="N48" s="559">
        <f>'Elementação FERD 2027'!F262</f>
        <v>0</v>
      </c>
      <c r="O48" s="545">
        <f t="shared" si="2"/>
        <v>0</v>
      </c>
      <c r="P48" s="149"/>
    </row>
    <row r="49" spans="1:16" ht="16.7" customHeight="1">
      <c r="A49" s="132"/>
      <c r="B49" s="550" t="s">
        <v>485</v>
      </c>
      <c r="C49" s="551" t="s">
        <v>486</v>
      </c>
      <c r="D49" s="551" t="s">
        <v>506</v>
      </c>
      <c r="E49" s="550" t="s">
        <v>507</v>
      </c>
      <c r="F49" s="551" t="s">
        <v>461</v>
      </c>
      <c r="G49" s="550" t="s">
        <v>313</v>
      </c>
      <c r="H49" s="551" t="s">
        <v>463</v>
      </c>
      <c r="I49" s="551" t="s">
        <v>122</v>
      </c>
      <c r="J49" s="550" t="s">
        <v>490</v>
      </c>
      <c r="K49" s="550" t="s">
        <v>469</v>
      </c>
      <c r="L49" s="541"/>
      <c r="M49" s="541"/>
      <c r="N49" s="559">
        <f>'Elementação FERD 2027'!F264</f>
        <v>0</v>
      </c>
      <c r="O49" s="545">
        <f t="shared" si="2"/>
        <v>0</v>
      </c>
      <c r="P49" s="149"/>
    </row>
    <row r="50" spans="1:16" ht="16.7" customHeight="1">
      <c r="A50" s="132"/>
      <c r="B50" s="550" t="s">
        <v>485</v>
      </c>
      <c r="C50" s="551" t="s">
        <v>486</v>
      </c>
      <c r="D50" s="551" t="s">
        <v>506</v>
      </c>
      <c r="E50" s="550" t="s">
        <v>507</v>
      </c>
      <c r="F50" s="551" t="s">
        <v>461</v>
      </c>
      <c r="G50" s="550" t="s">
        <v>313</v>
      </c>
      <c r="H50" s="551" t="s">
        <v>463</v>
      </c>
      <c r="I50" s="551" t="s">
        <v>122</v>
      </c>
      <c r="J50" s="550" t="s">
        <v>490</v>
      </c>
      <c r="K50" s="550" t="s">
        <v>495</v>
      </c>
      <c r="L50" s="541"/>
      <c r="M50" s="541"/>
      <c r="N50" s="559">
        <f>'Elementação FERD 2027'!F265</f>
        <v>2733720</v>
      </c>
      <c r="O50" s="545">
        <f t="shared" si="2"/>
        <v>2733720</v>
      </c>
      <c r="P50" s="149"/>
    </row>
    <row r="51" spans="1:16" ht="16.7" customHeight="1">
      <c r="A51" s="132"/>
      <c r="B51" s="550" t="s">
        <v>485</v>
      </c>
      <c r="C51" s="551" t="s">
        <v>486</v>
      </c>
      <c r="D51" s="551" t="s">
        <v>506</v>
      </c>
      <c r="E51" s="550" t="s">
        <v>508</v>
      </c>
      <c r="F51" s="551" t="s">
        <v>461</v>
      </c>
      <c r="G51" s="550" t="s">
        <v>312</v>
      </c>
      <c r="H51" s="551" t="s">
        <v>463</v>
      </c>
      <c r="I51" s="551" t="s">
        <v>81</v>
      </c>
      <c r="J51" s="550" t="s">
        <v>488</v>
      </c>
      <c r="K51" s="550" t="s">
        <v>469</v>
      </c>
      <c r="L51" s="541"/>
      <c r="M51" s="541"/>
      <c r="N51" s="559">
        <f>'Elementação FERD 2027'!F240</f>
        <v>36489</v>
      </c>
      <c r="O51" s="545">
        <f t="shared" si="2"/>
        <v>36489</v>
      </c>
      <c r="P51" s="149"/>
    </row>
    <row r="52" spans="1:16" ht="16.7" customHeight="1">
      <c r="A52" s="132"/>
      <c r="B52" s="550" t="s">
        <v>485</v>
      </c>
      <c r="C52" s="551" t="s">
        <v>486</v>
      </c>
      <c r="D52" s="551" t="s">
        <v>506</v>
      </c>
      <c r="E52" s="550" t="s">
        <v>508</v>
      </c>
      <c r="F52" s="551" t="s">
        <v>461</v>
      </c>
      <c r="G52" s="550" t="s">
        <v>312</v>
      </c>
      <c r="H52" s="551" t="s">
        <v>463</v>
      </c>
      <c r="I52" s="551" t="s">
        <v>81</v>
      </c>
      <c r="J52" s="550" t="s">
        <v>488</v>
      </c>
      <c r="K52" s="550" t="s">
        <v>495</v>
      </c>
      <c r="L52" s="541"/>
      <c r="M52" s="541"/>
      <c r="N52" s="560">
        <f>'Elementação FERD 2027'!F241</f>
        <v>0</v>
      </c>
      <c r="O52" s="545">
        <f t="shared" si="2"/>
        <v>0</v>
      </c>
      <c r="P52" s="149"/>
    </row>
    <row r="53" spans="1:16" ht="16.7" customHeight="1">
      <c r="A53" s="132"/>
      <c r="B53" s="550" t="s">
        <v>485</v>
      </c>
      <c r="C53" s="551" t="s">
        <v>486</v>
      </c>
      <c r="D53" s="551" t="s">
        <v>506</v>
      </c>
      <c r="E53" s="550" t="s">
        <v>508</v>
      </c>
      <c r="F53" s="551" t="s">
        <v>461</v>
      </c>
      <c r="G53" s="550" t="s">
        <v>312</v>
      </c>
      <c r="H53" s="551" t="s">
        <v>463</v>
      </c>
      <c r="I53" s="551" t="s">
        <v>122</v>
      </c>
      <c r="J53" s="550" t="s">
        <v>490</v>
      </c>
      <c r="K53" s="550" t="s">
        <v>469</v>
      </c>
      <c r="L53" s="541"/>
      <c r="M53" s="541"/>
      <c r="N53" s="559">
        <f>'Elementação FERD 2027'!F243</f>
        <v>15058381</v>
      </c>
      <c r="O53" s="545">
        <f t="shared" si="2"/>
        <v>15058381</v>
      </c>
      <c r="P53" s="149"/>
    </row>
    <row r="54" spans="1:16" ht="16.7" customHeight="1">
      <c r="A54" s="132"/>
      <c r="B54" s="550" t="s">
        <v>485</v>
      </c>
      <c r="C54" s="551" t="s">
        <v>486</v>
      </c>
      <c r="D54" s="551" t="s">
        <v>506</v>
      </c>
      <c r="E54" s="550" t="s">
        <v>508</v>
      </c>
      <c r="F54" s="551" t="s">
        <v>461</v>
      </c>
      <c r="G54" s="550" t="s">
        <v>312</v>
      </c>
      <c r="H54" s="551" t="s">
        <v>463</v>
      </c>
      <c r="I54" s="551" t="s">
        <v>122</v>
      </c>
      <c r="J54" s="550" t="s">
        <v>490</v>
      </c>
      <c r="K54" s="550" t="s">
        <v>495</v>
      </c>
      <c r="L54" s="541"/>
      <c r="M54" s="541"/>
      <c r="N54" s="559">
        <f>'Elementação FERD 2027'!F244</f>
        <v>0</v>
      </c>
      <c r="O54" s="545">
        <f t="shared" si="2"/>
        <v>0</v>
      </c>
      <c r="P54" s="149"/>
    </row>
    <row r="55" spans="1:16" ht="16.7" customHeight="1">
      <c r="A55" s="132"/>
      <c r="B55" s="550" t="s">
        <v>485</v>
      </c>
      <c r="C55" s="551" t="s">
        <v>486</v>
      </c>
      <c r="D55" s="551" t="s">
        <v>506</v>
      </c>
      <c r="E55" s="550" t="s">
        <v>509</v>
      </c>
      <c r="F55" s="551" t="s">
        <v>461</v>
      </c>
      <c r="G55" s="550" t="s">
        <v>342</v>
      </c>
      <c r="H55" s="551" t="s">
        <v>463</v>
      </c>
      <c r="I55" s="551" t="s">
        <v>122</v>
      </c>
      <c r="J55" s="550" t="s">
        <v>490</v>
      </c>
      <c r="K55" s="550" t="s">
        <v>469</v>
      </c>
      <c r="L55" s="541"/>
      <c r="M55" s="541"/>
      <c r="N55" s="559">
        <f>'Elementação FERD 2027'!F275</f>
        <v>3500000</v>
      </c>
      <c r="O55" s="545">
        <f t="shared" si="2"/>
        <v>3500000</v>
      </c>
      <c r="P55" s="149"/>
    </row>
    <row r="56" spans="1:16" ht="16.7" customHeight="1">
      <c r="A56" s="132"/>
      <c r="B56" s="550" t="s">
        <v>485</v>
      </c>
      <c r="C56" s="551" t="s">
        <v>486</v>
      </c>
      <c r="D56" s="551" t="s">
        <v>506</v>
      </c>
      <c r="E56" s="550" t="s">
        <v>509</v>
      </c>
      <c r="F56" s="551" t="s">
        <v>461</v>
      </c>
      <c r="G56" s="550" t="s">
        <v>342</v>
      </c>
      <c r="H56" s="551" t="s">
        <v>463</v>
      </c>
      <c r="I56" s="551" t="s">
        <v>122</v>
      </c>
      <c r="J56" s="550" t="s">
        <v>490</v>
      </c>
      <c r="K56" s="550" t="s">
        <v>495</v>
      </c>
      <c r="L56" s="541"/>
      <c r="M56" s="541"/>
      <c r="N56" s="559">
        <f>'Elementação FERD 2027'!F276</f>
        <v>0</v>
      </c>
      <c r="O56" s="545">
        <f t="shared" si="2"/>
        <v>0</v>
      </c>
      <c r="P56" s="149"/>
    </row>
    <row r="57" spans="1:16" ht="26.25" customHeight="1">
      <c r="A57" s="132"/>
      <c r="B57" s="550" t="s">
        <v>485</v>
      </c>
      <c r="C57" s="551" t="s">
        <v>486</v>
      </c>
      <c r="D57" s="551" t="s">
        <v>465</v>
      </c>
      <c r="E57" s="550" t="s">
        <v>510</v>
      </c>
      <c r="F57" s="551" t="s">
        <v>467</v>
      </c>
      <c r="G57" s="550" t="s">
        <v>343</v>
      </c>
      <c r="H57" s="551" t="s">
        <v>463</v>
      </c>
      <c r="I57" s="551" t="s">
        <v>81</v>
      </c>
      <c r="J57" s="550" t="s">
        <v>511</v>
      </c>
      <c r="K57" s="550" t="s">
        <v>469</v>
      </c>
      <c r="L57" s="541"/>
      <c r="M57" s="541"/>
      <c r="N57" s="559">
        <f>'Elementação FERD 2027'!F137</f>
        <v>526650</v>
      </c>
      <c r="O57" s="545">
        <f t="shared" si="2"/>
        <v>526650</v>
      </c>
      <c r="P57" s="149"/>
    </row>
    <row r="58" spans="1:16" ht="29.25" customHeight="1">
      <c r="A58" s="132"/>
      <c r="B58" s="550" t="s">
        <v>485</v>
      </c>
      <c r="C58" s="551" t="s">
        <v>486</v>
      </c>
      <c r="D58" s="551" t="s">
        <v>465</v>
      </c>
      <c r="E58" s="550" t="s">
        <v>510</v>
      </c>
      <c r="F58" s="551" t="s">
        <v>467</v>
      </c>
      <c r="G58" s="550" t="s">
        <v>343</v>
      </c>
      <c r="H58" s="551" t="s">
        <v>463</v>
      </c>
      <c r="I58" s="551" t="s">
        <v>122</v>
      </c>
      <c r="J58" s="550" t="s">
        <v>490</v>
      </c>
      <c r="K58" s="550" t="s">
        <v>469</v>
      </c>
      <c r="L58" s="541"/>
      <c r="M58" s="541"/>
      <c r="N58" s="559">
        <f>'Elementação FERD 2027'!F139</f>
        <v>8773100</v>
      </c>
      <c r="O58" s="545">
        <f t="shared" si="2"/>
        <v>8773100</v>
      </c>
      <c r="P58" s="149"/>
    </row>
    <row r="59" spans="1:16" ht="27" customHeight="1">
      <c r="A59" s="132"/>
      <c r="B59" s="550" t="s">
        <v>485</v>
      </c>
      <c r="C59" s="551" t="s">
        <v>486</v>
      </c>
      <c r="D59" s="551" t="s">
        <v>465</v>
      </c>
      <c r="E59" s="550" t="s">
        <v>512</v>
      </c>
      <c r="F59" s="551" t="s">
        <v>467</v>
      </c>
      <c r="G59" s="550" t="s">
        <v>513</v>
      </c>
      <c r="H59" s="551" t="s">
        <v>463</v>
      </c>
      <c r="I59" s="551" t="s">
        <v>122</v>
      </c>
      <c r="J59" s="550" t="s">
        <v>490</v>
      </c>
      <c r="K59" s="550" t="s">
        <v>469</v>
      </c>
      <c r="L59" s="541"/>
      <c r="M59" s="541"/>
      <c r="N59" s="559">
        <f>'Elementação FERD 2027'!F149</f>
        <v>19698261</v>
      </c>
      <c r="O59" s="545">
        <f t="shared" si="2"/>
        <v>19698261</v>
      </c>
      <c r="P59" s="149"/>
    </row>
    <row r="60" spans="1:16" ht="16.7" customHeight="1">
      <c r="A60" s="132"/>
      <c r="B60" s="550" t="s">
        <v>457</v>
      </c>
      <c r="C60" s="550" t="s">
        <v>458</v>
      </c>
      <c r="D60" s="551" t="s">
        <v>465</v>
      </c>
      <c r="E60" s="550" t="s">
        <v>514</v>
      </c>
      <c r="F60" s="551" t="s">
        <v>461</v>
      </c>
      <c r="G60" s="550" t="s">
        <v>503</v>
      </c>
      <c r="H60" s="551" t="s">
        <v>463</v>
      </c>
      <c r="I60" s="550" t="s">
        <v>226</v>
      </c>
      <c r="J60" s="550" t="s">
        <v>464</v>
      </c>
      <c r="K60" s="550" t="s">
        <v>495</v>
      </c>
      <c r="L60" s="539"/>
      <c r="M60" s="539"/>
      <c r="N60" s="552">
        <f>'ElementaçãoTesouro 2027'!G111</f>
        <v>1000</v>
      </c>
      <c r="O60" s="540">
        <f t="shared" ref="O60:O66" si="3">L60+M60+N60</f>
        <v>1000</v>
      </c>
      <c r="P60" s="149"/>
    </row>
    <row r="61" spans="1:16" ht="16.7" customHeight="1">
      <c r="A61" s="132"/>
      <c r="B61" s="550" t="s">
        <v>457</v>
      </c>
      <c r="C61" s="550" t="s">
        <v>458</v>
      </c>
      <c r="D61" s="551" t="s">
        <v>459</v>
      </c>
      <c r="E61" s="550" t="s">
        <v>515</v>
      </c>
      <c r="F61" s="551" t="s">
        <v>461</v>
      </c>
      <c r="G61" s="550" t="s">
        <v>516</v>
      </c>
      <c r="H61" s="551" t="s">
        <v>463</v>
      </c>
      <c r="I61" s="550" t="s">
        <v>226</v>
      </c>
      <c r="J61" s="550" t="s">
        <v>464</v>
      </c>
      <c r="K61" s="550" t="s">
        <v>495</v>
      </c>
      <c r="L61" s="539"/>
      <c r="M61" s="539"/>
      <c r="N61" s="552">
        <f>'ElementaçãoTesouro 2027'!G121</f>
        <v>1000</v>
      </c>
      <c r="O61" s="540">
        <f t="shared" si="3"/>
        <v>1000</v>
      </c>
      <c r="P61" s="149"/>
    </row>
    <row r="62" spans="1:16" ht="16.7" customHeight="1">
      <c r="A62" s="132"/>
      <c r="B62" s="550" t="s">
        <v>457</v>
      </c>
      <c r="C62" s="550" t="s">
        <v>458</v>
      </c>
      <c r="D62" s="551" t="s">
        <v>506</v>
      </c>
      <c r="E62" s="550" t="s">
        <v>517</v>
      </c>
      <c r="F62" s="551" t="s">
        <v>461</v>
      </c>
      <c r="G62" s="550" t="s">
        <v>518</v>
      </c>
      <c r="H62" s="551" t="s">
        <v>463</v>
      </c>
      <c r="I62" s="550" t="s">
        <v>226</v>
      </c>
      <c r="J62" s="550" t="s">
        <v>464</v>
      </c>
      <c r="K62" s="550" t="s">
        <v>495</v>
      </c>
      <c r="L62" s="539"/>
      <c r="M62" s="539"/>
      <c r="N62" s="552">
        <f>'ElementaçãoTesouro 2027'!G131</f>
        <v>1000</v>
      </c>
      <c r="O62" s="540">
        <f t="shared" si="3"/>
        <v>1000</v>
      </c>
      <c r="P62" s="149"/>
    </row>
    <row r="63" spans="1:16" ht="16.7" customHeight="1">
      <c r="A63" s="132"/>
      <c r="B63" s="550" t="s">
        <v>457</v>
      </c>
      <c r="C63" s="550" t="s">
        <v>458</v>
      </c>
      <c r="D63" s="551" t="s">
        <v>459</v>
      </c>
      <c r="E63" s="550" t="s">
        <v>519</v>
      </c>
      <c r="F63" s="551" t="s">
        <v>461</v>
      </c>
      <c r="G63" s="550" t="s">
        <v>328</v>
      </c>
      <c r="H63" s="551" t="s">
        <v>463</v>
      </c>
      <c r="I63" s="550" t="s">
        <v>226</v>
      </c>
      <c r="J63" s="550" t="s">
        <v>464</v>
      </c>
      <c r="K63" s="550" t="s">
        <v>469</v>
      </c>
      <c r="L63" s="539">
        <f>'ElementaçãoTesouro 2027'!G186</f>
        <v>120000</v>
      </c>
      <c r="M63" s="539"/>
      <c r="N63" s="552"/>
      <c r="O63" s="540">
        <f t="shared" si="3"/>
        <v>120000</v>
      </c>
      <c r="P63" s="149"/>
    </row>
    <row r="64" spans="1:16" ht="16.7" customHeight="1">
      <c r="A64" s="132"/>
      <c r="B64" s="550" t="s">
        <v>457</v>
      </c>
      <c r="C64" s="550" t="s">
        <v>458</v>
      </c>
      <c r="D64" s="551" t="s">
        <v>459</v>
      </c>
      <c r="E64" s="550" t="s">
        <v>520</v>
      </c>
      <c r="F64" s="551" t="s">
        <v>461</v>
      </c>
      <c r="G64" s="550" t="s">
        <v>329</v>
      </c>
      <c r="H64" s="551" t="s">
        <v>463</v>
      </c>
      <c r="I64" s="550" t="s">
        <v>226</v>
      </c>
      <c r="J64" s="550" t="s">
        <v>464</v>
      </c>
      <c r="K64" s="550" t="s">
        <v>469</v>
      </c>
      <c r="L64" s="539">
        <f>'ElementaçãoTesouro 2027'!G192</f>
        <v>150000</v>
      </c>
      <c r="M64" s="539"/>
      <c r="N64" s="561"/>
      <c r="O64" s="540">
        <f t="shared" si="3"/>
        <v>150000</v>
      </c>
      <c r="P64" s="149"/>
    </row>
    <row r="65" spans="1:18" ht="16.7" customHeight="1">
      <c r="A65" s="132"/>
      <c r="B65" s="550" t="s">
        <v>457</v>
      </c>
      <c r="C65" s="550" t="s">
        <v>458</v>
      </c>
      <c r="D65" s="551" t="s">
        <v>459</v>
      </c>
      <c r="E65" s="550" t="s">
        <v>521</v>
      </c>
      <c r="F65" s="551" t="s">
        <v>461</v>
      </c>
      <c r="G65" s="550" t="s">
        <v>330</v>
      </c>
      <c r="H65" s="551" t="s">
        <v>463</v>
      </c>
      <c r="I65" s="550" t="s">
        <v>226</v>
      </c>
      <c r="J65" s="550" t="s">
        <v>464</v>
      </c>
      <c r="K65" s="550" t="s">
        <v>469</v>
      </c>
      <c r="L65" s="539">
        <f>'ElementaçãoTesouro 2027'!G174</f>
        <v>20000</v>
      </c>
      <c r="M65" s="539"/>
      <c r="N65" s="552"/>
      <c r="O65" s="540">
        <f t="shared" si="3"/>
        <v>20000</v>
      </c>
      <c r="P65" s="149"/>
    </row>
    <row r="66" spans="1:18" ht="26.25" customHeight="1">
      <c r="A66" s="132"/>
      <c r="B66" s="573" t="s">
        <v>457</v>
      </c>
      <c r="C66" s="573" t="s">
        <v>458</v>
      </c>
      <c r="D66" s="574" t="s">
        <v>459</v>
      </c>
      <c r="E66" s="573" t="s">
        <v>522</v>
      </c>
      <c r="F66" s="574" t="s">
        <v>461</v>
      </c>
      <c r="G66" s="573" t="s">
        <v>331</v>
      </c>
      <c r="H66" s="574" t="s">
        <v>463</v>
      </c>
      <c r="I66" s="573" t="s">
        <v>226</v>
      </c>
      <c r="J66" s="573" t="s">
        <v>464</v>
      </c>
      <c r="K66" s="573" t="s">
        <v>469</v>
      </c>
      <c r="L66" s="575">
        <f>'ElementaçãoTesouro 2027'!G180</f>
        <v>120000</v>
      </c>
      <c r="M66" s="575"/>
      <c r="N66" s="576"/>
      <c r="O66" s="540">
        <f t="shared" si="3"/>
        <v>120000</v>
      </c>
      <c r="P66" s="149"/>
    </row>
    <row r="67" spans="1:18" ht="26.25" customHeight="1">
      <c r="A67" s="132"/>
      <c r="B67" s="609" t="s">
        <v>523</v>
      </c>
      <c r="C67" s="610"/>
      <c r="D67" s="610"/>
      <c r="E67" s="610"/>
      <c r="F67" s="610"/>
      <c r="G67" s="610"/>
      <c r="H67" s="610"/>
      <c r="I67" s="610"/>
      <c r="J67" s="610"/>
      <c r="K67" s="610"/>
      <c r="L67" s="571">
        <f>SUM(L27:L66)</f>
        <v>28666330</v>
      </c>
      <c r="M67" s="571">
        <f>SUM(M27:M66)</f>
        <v>4688391</v>
      </c>
      <c r="N67" s="571">
        <f>SUM(N27:N66)</f>
        <v>90364183.002000004</v>
      </c>
      <c r="O67" s="572">
        <f>SUM(O27:O66)</f>
        <v>123718904.002</v>
      </c>
      <c r="Q67" s="146"/>
    </row>
    <row r="68" spans="1:18" ht="27" customHeight="1">
      <c r="A68" s="150"/>
      <c r="B68" s="611" t="s">
        <v>9</v>
      </c>
      <c r="C68" s="611"/>
      <c r="D68" s="611"/>
      <c r="E68" s="611"/>
      <c r="F68" s="611"/>
      <c r="G68" s="611"/>
      <c r="H68" s="611"/>
      <c r="I68" s="611"/>
      <c r="J68" s="611"/>
      <c r="K68" s="611"/>
      <c r="L68" s="600">
        <f>L25+L67</f>
        <v>632417612</v>
      </c>
      <c r="M68" s="600">
        <f>M25+M67</f>
        <v>121450551</v>
      </c>
      <c r="N68" s="600">
        <f>N25+N67</f>
        <v>369299242.00199997</v>
      </c>
      <c r="O68" s="601">
        <f>O25+O67</f>
        <v>1123167405.0020001</v>
      </c>
    </row>
    <row r="69" spans="1:18" s="151" customFormat="1" ht="16.7" customHeight="1">
      <c r="C69" s="596" t="s">
        <v>524</v>
      </c>
      <c r="D69" s="596"/>
      <c r="E69" s="596"/>
      <c r="F69" s="596"/>
      <c r="G69" s="596"/>
      <c r="H69" s="596"/>
      <c r="I69" s="597"/>
      <c r="J69" s="597"/>
      <c r="K69" s="142"/>
      <c r="L69" s="141"/>
      <c r="M69" s="141"/>
      <c r="P69" s="152"/>
      <c r="Q69" s="577"/>
      <c r="R69" s="538"/>
    </row>
    <row r="70" spans="1:18" s="151" customFormat="1" ht="16.7" customHeight="1">
      <c r="C70" s="596" t="s">
        <v>525</v>
      </c>
      <c r="D70" s="596"/>
      <c r="E70" s="596"/>
      <c r="F70" s="596"/>
      <c r="G70" s="596"/>
      <c r="H70" s="596"/>
      <c r="I70" s="597"/>
      <c r="J70" s="597"/>
      <c r="K70" s="597"/>
      <c r="L70" s="596"/>
      <c r="M70" s="596"/>
      <c r="P70" s="152"/>
      <c r="Q70" s="577"/>
      <c r="R70" s="538"/>
    </row>
    <row r="71" spans="1:18" ht="16.7" customHeight="1">
      <c r="A71" s="151"/>
      <c r="B71" s="528" t="s">
        <v>526</v>
      </c>
      <c r="C71" s="596" t="s">
        <v>527</v>
      </c>
      <c r="D71" s="598"/>
      <c r="E71" s="598"/>
      <c r="F71" s="598"/>
      <c r="G71" s="598"/>
      <c r="H71" s="598"/>
      <c r="I71" s="597"/>
      <c r="J71" s="597"/>
      <c r="K71" s="597"/>
      <c r="L71" s="598"/>
      <c r="M71" s="599"/>
      <c r="P71" s="152"/>
      <c r="Q71" s="577"/>
    </row>
  </sheetData>
  <mergeCells count="19">
    <mergeCell ref="B1:O1"/>
    <mergeCell ref="B2:O2"/>
    <mergeCell ref="B3:O3"/>
    <mergeCell ref="B4:O4"/>
    <mergeCell ref="B5:O5"/>
    <mergeCell ref="B7:K7"/>
    <mergeCell ref="L7:O7"/>
    <mergeCell ref="B8:C8"/>
    <mergeCell ref="D8:D9"/>
    <mergeCell ref="E8:E9"/>
    <mergeCell ref="F8:G8"/>
    <mergeCell ref="H8:H9"/>
    <mergeCell ref="I8:J8"/>
    <mergeCell ref="K8:K9"/>
    <mergeCell ref="B10:O10"/>
    <mergeCell ref="B25:K25"/>
    <mergeCell ref="B26:O26"/>
    <mergeCell ref="B67:K67"/>
    <mergeCell ref="B68:K6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70BA4C01CFAB4683DB1078E0B51D83" ma:contentTypeVersion="4" ma:contentTypeDescription="Crie um novo documento." ma:contentTypeScope="" ma:versionID="fdde86cd389ea620d5c7b3e9090626e3">
  <xsd:schema xmlns:xsd="http://www.w3.org/2001/XMLSchema" xmlns:xs="http://www.w3.org/2001/XMLSchema" xmlns:p="http://schemas.microsoft.com/office/2006/metadata/properties" xmlns:ns2="1f42143a-cbce-48d9-81c2-b0e90836ac97" targetNamespace="http://schemas.microsoft.com/office/2006/metadata/properties" ma:root="true" ma:fieldsID="00aa984e70d3cc1e5a1dd726a4023694" ns2:_="">
    <xsd:import namespace="1f42143a-cbce-48d9-81c2-b0e90836ac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143a-cbce-48d9-81c2-b0e90836ac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A872C-8232-42CF-8E8C-DFCE1E0C9BF7}"/>
</file>

<file path=customXml/itemProps2.xml><?xml version="1.0" encoding="utf-8"?>
<ds:datastoreItem xmlns:ds="http://schemas.openxmlformats.org/officeDocument/2006/customXml" ds:itemID="{AF71BCE0-DEBC-4301-BC43-0189D1DF91CB}"/>
</file>

<file path=customXml/itemProps3.xml><?xml version="1.0" encoding="utf-8"?>
<ds:datastoreItem xmlns:ds="http://schemas.openxmlformats.org/officeDocument/2006/customXml" ds:itemID="{A8C7FE26-87D4-42B9-950D-3D6BD5A699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2553</dc:creator>
  <cp:keywords/>
  <dc:description/>
  <cp:lastModifiedBy/>
  <cp:revision>580</cp:revision>
  <dcterms:created xsi:type="dcterms:W3CDTF">2015-08-25T17:54:44Z</dcterms:created>
  <dcterms:modified xsi:type="dcterms:W3CDTF">2026-10-07T12:17:01Z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0x0101009870BA4C01CFAB4683DB1078E0B51D83</vt:lpwstr>
  </property>
  <property fmtid="{D5CDD505-2E9C-101B-9397-08002B2CF9AE}" pid="3" name="Order">
    <vt:r8>14200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{"FileActivityType":"9","FileActivityTimeStamp":"2025-08-12T15:32:59.433Z","FileActivityUsersOnPage":[{"DisplayName":"Ana Flávia dos Santos Cruz","Id":"flavia.cruz@tjse.jus.br"},{"DisplayName":"Nilza Oliveira Bomfim","Id":"nbo2553@tjse.jus.br"}],"FileActi</vt:lpwstr>
  </property>
  <property fmtid="{D5CDD505-2E9C-101B-9397-08002B2CF9AE}" pid="9" name="_ExtendedDescription">
    <vt:lpwstr/>
  </property>
</Properties>
</file>